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11.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14.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15.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16.xml" ContentType="application/vnd.openxmlformats-officedocument.drawing+xml"/>
  <Override PartName="/xl/comments1.xml" ContentType="application/vnd.openxmlformats-officedocument.spreadsheetml.comments+xml"/>
  <Override PartName="/xl/drawings/drawing17.xml" ContentType="application/vnd.openxmlformats-officedocument.drawing+xml"/>
  <Override PartName="/xl/comments2.xml" ContentType="application/vnd.openxmlformats-officedocument.spreadsheetml.comments+xml"/>
  <Override PartName="/xl/drawings/drawing18.xml" ContentType="application/vnd.openxmlformats-officedocument.drawing+xml"/>
  <Override PartName="/xl/comments3.xml" ContentType="application/vnd.openxmlformats-officedocument.spreadsheetml.comments+xml"/>
  <Override PartName="/xl/drawings/drawing19.xml" ContentType="application/vnd.openxmlformats-officedocument.drawing+xml"/>
  <Override PartName="/xl/comments4.xml" ContentType="application/vnd.openxmlformats-officedocument.spreadsheetml.comments+xml"/>
  <Override PartName="/xl/drawings/drawing20.xml" ContentType="application/vnd.openxmlformats-officedocument.drawing+xml"/>
  <Override PartName="/xl/charts/chart25.xml" ContentType="application/vnd.openxmlformats-officedocument.drawingml.chart+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02"/>
  <workbookPr codeName="ThisWorkbook" defaultThemeVersion="124226"/>
  <mc:AlternateContent xmlns:mc="http://schemas.openxmlformats.org/markup-compatibility/2006">
    <mc:Choice Requires="x15">
      <x15ac:absPath xmlns:x15ac="http://schemas.microsoft.com/office/spreadsheetml/2010/11/ac" url="D:\TempUserProfiles\NetworkService\AppData\Local\Packages\oice_16_974fa576_32c1d314_3a93\AC\Temp\"/>
    </mc:Choice>
  </mc:AlternateContent>
  <xr:revisionPtr revIDLastSave="0" documentId="8_{0F270601-1EB7-48BF-9F3E-13671630E634}" xr6:coauthVersionLast="47" xr6:coauthVersionMax="47" xr10:uidLastSave="{00000000-0000-0000-0000-000000000000}"/>
  <bookViews>
    <workbookView xWindow="-60" yWindow="-60" windowWidth="15480" windowHeight="11640" tabRatio="644" firstSheet="13" activeTab="12" xr2:uid="{00000000-000D-0000-FFFF-FFFF00000000}"/>
  </bookViews>
  <sheets>
    <sheet name="Juridica" sheetId="15" state="hidden" r:id="rId1"/>
    <sheet name="OAP" sheetId="17" state="hidden" r:id="rId2"/>
    <sheet name="Humana" sheetId="18" state="hidden" r:id="rId3"/>
    <sheet name="Direcion Tecnica" sheetId="19" state="hidden" r:id="rId4"/>
    <sheet name="Divulgacion" sheetId="20" state="hidden" r:id="rId5"/>
    <sheet name="Control Interno Gestion" sheetId="21" state="hidden" r:id="rId6"/>
    <sheet name="Control Interno Disciplinario" sheetId="22" state="hidden" r:id="rId7"/>
    <sheet name="OIVC - Registral" sheetId="23" state="hidden" r:id="rId8"/>
    <sheet name="OIVC - Notarial" sheetId="24" state="hidden" r:id="rId9"/>
    <sheet name="Fiancniera" sheetId="25" state="hidden" r:id="rId10"/>
    <sheet name="Admintrativa" sheetId="26" state="hidden" r:id="rId11"/>
    <sheet name="OAC Proceso Mecanismos " sheetId="40" r:id="rId12"/>
    <sheet name="Reporte de Datos " sheetId="27" r:id="rId13"/>
    <sheet name="Gráficos y Análisis" sheetId="28" r:id="rId14"/>
    <sheet name="Dependencias" sheetId="33" state="hidden" r:id="rId15"/>
    <sheet name="Hoja4" sheetId="32" state="hidden" r:id="rId16"/>
    <sheet name="Not Entidades" sheetId="31" state="hidden" r:id="rId17"/>
    <sheet name="OAC" sheetId="34" state="hidden" r:id="rId18"/>
    <sheet name="ORIP" sheetId="30" state="hidden" r:id="rId19"/>
    <sheet name="CTL" sheetId="29" state="hidden" r:id="rId20"/>
    <sheet name="Hoja1" sheetId="35" state="hidden" r:id="rId21"/>
    <sheet name="ACPM 1" sheetId="36" state="hidden" r:id="rId22"/>
    <sheet name="ACPM 2" sheetId="37" state="hidden" r:id="rId23"/>
    <sheet name="ACPM 3" sheetId="38" state="hidden" r:id="rId24"/>
    <sheet name="Hoja2" sheetId="39" state="hidden" r:id="rId25"/>
  </sheets>
  <externalReferences>
    <externalReference r:id="rId26"/>
  </externalReferences>
  <definedNames>
    <definedName name="_xlnm._FilterDatabase" localSheetId="10" hidden="1">Admintrativa!$A$8:$Z$21</definedName>
    <definedName name="_xlnm._FilterDatabase" localSheetId="6" hidden="1">'Control Interno Disciplinario'!$A$8:$Z$11</definedName>
    <definedName name="_xlnm._FilterDatabase" localSheetId="5" hidden="1">'Control Interno Gestion'!$A$8:$Z$10</definedName>
    <definedName name="_xlnm._FilterDatabase" localSheetId="3" hidden="1">'Direcion Tecnica'!$A$8:$Z$14</definedName>
    <definedName name="_xlnm._FilterDatabase" localSheetId="4" hidden="1">Divulgacion!$A$8:$Z$9</definedName>
    <definedName name="_xlnm._FilterDatabase" localSheetId="9" hidden="1">Fiancniera!$A$8:$Z$27</definedName>
    <definedName name="_xlnm._FilterDatabase" localSheetId="2" hidden="1">Humana!$A$8:$Z$15</definedName>
    <definedName name="_xlnm._FilterDatabase" localSheetId="0" hidden="1">Juridica!$A$8:$Z$16</definedName>
    <definedName name="_xlnm._FilterDatabase" localSheetId="11" hidden="1">'OAC Proceso Mecanismos '!$A$7:$O$9</definedName>
    <definedName name="_xlnm._FilterDatabase" localSheetId="1" hidden="1">OAP!$A$8:$Z$12</definedName>
    <definedName name="_xlnm._FilterDatabase" localSheetId="8" hidden="1">'OIVC - Notarial'!$A$8:$Z$18</definedName>
    <definedName name="_xlnm._FilterDatabase" localSheetId="7" hidden="1">'OIVC - Registral'!$A$8:$Z$12</definedName>
    <definedName name="_xlnm._FilterDatabase" localSheetId="18" hidden="1">ORIP!$B$3:$H$3</definedName>
    <definedName name="_xlnm._FilterDatabase">#REF!</definedName>
    <definedName name="_xlnm.Print_Area" localSheetId="10">Admintrativa!$A$1:$U$8</definedName>
    <definedName name="_xlnm.Print_Area" localSheetId="6">'Control Interno Disciplinario'!$A$1:$U$8</definedName>
    <definedName name="_xlnm.Print_Area" localSheetId="5">'Control Interno Gestion'!$A$1:$U$8</definedName>
    <definedName name="_xlnm.Print_Area" localSheetId="3">'Direcion Tecnica'!$A$1:$U$8</definedName>
    <definedName name="_xlnm.Print_Area" localSheetId="4">Divulgacion!$A$1:$U$8</definedName>
    <definedName name="_xlnm.Print_Area" localSheetId="9">Fiancniera!$A$1:$U$8</definedName>
    <definedName name="_xlnm.Print_Area" localSheetId="2">Humana!$A$1:$U$8</definedName>
    <definedName name="_xlnm.Print_Area" localSheetId="0">Juridica!$A$1:$U$8</definedName>
    <definedName name="_xlnm.Print_Area" localSheetId="11">'OAC Proceso Mecanismos '!$A$1:$N$7</definedName>
    <definedName name="_xlnm.Print_Area" localSheetId="1">OAP!$A$1:$U$12</definedName>
    <definedName name="_xlnm.Print_Area" localSheetId="8">'OIVC - Notarial'!$A$1:$U$8</definedName>
    <definedName name="_xlnm.Print_Area" localSheetId="7">'OIVC - Registral'!$A$1:$U$8</definedName>
    <definedName name="DEPENDENCIA">[1]Datos!$H$2:$H$78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4" i="27" l="1"/>
  <c r="P14" i="27"/>
  <c r="O14" i="27"/>
  <c r="N14" i="27"/>
  <c r="M14" i="27"/>
  <c r="L14" i="27"/>
  <c r="K14" i="27"/>
  <c r="J14" i="27"/>
  <c r="I14" i="27"/>
  <c r="H14" i="27"/>
  <c r="G14" i="27"/>
  <c r="F14" i="27"/>
  <c r="R13" i="27"/>
  <c r="R12" i="27"/>
  <c r="O10" i="27"/>
  <c r="N10" i="27"/>
  <c r="L10" i="27"/>
  <c r="F36" i="34"/>
  <c r="G36" i="34"/>
  <c r="F35" i="34"/>
  <c r="G35" i="34"/>
  <c r="F34" i="34"/>
  <c r="G34" i="34"/>
  <c r="F33" i="34"/>
  <c r="G33" i="34"/>
  <c r="F32" i="34"/>
  <c r="G32" i="34"/>
  <c r="F31" i="34"/>
  <c r="G31" i="34"/>
  <c r="F30" i="34"/>
  <c r="G30" i="34"/>
  <c r="B45" i="34"/>
  <c r="C45" i="34"/>
  <c r="B36" i="34"/>
  <c r="C36" i="34" s="1"/>
  <c r="B34" i="34"/>
  <c r="C34" i="34"/>
  <c r="B29" i="34"/>
  <c r="C29" i="34"/>
  <c r="B47" i="34"/>
  <c r="C47" i="34"/>
  <c r="B37" i="34"/>
  <c r="C37" i="34"/>
  <c r="B25" i="34"/>
  <c r="C25" i="34"/>
  <c r="B28" i="34"/>
  <c r="C28" i="34"/>
  <c r="B46" i="34"/>
  <c r="C46" i="34"/>
  <c r="B33" i="34"/>
  <c r="C33" i="34"/>
  <c r="B32" i="34"/>
  <c r="C32" i="34"/>
  <c r="B31" i="34"/>
  <c r="C31" i="34"/>
  <c r="B21" i="34"/>
  <c r="C21" i="34"/>
  <c r="B44" i="34"/>
  <c r="C44" i="34"/>
  <c r="B42" i="34"/>
  <c r="C42" i="34"/>
  <c r="B30" i="34"/>
  <c r="C30" i="34"/>
  <c r="B41" i="34"/>
  <c r="C41" i="34"/>
  <c r="B40" i="34"/>
  <c r="C40" i="34"/>
  <c r="B24" i="34"/>
  <c r="C24" i="34"/>
  <c r="B23" i="34"/>
  <c r="C23" i="34"/>
  <c r="B22" i="34"/>
  <c r="C22" i="34"/>
  <c r="B39" i="34"/>
  <c r="C39" i="34"/>
  <c r="B38" i="34"/>
  <c r="C38" i="34"/>
  <c r="B17" i="34"/>
  <c r="C17" i="34"/>
  <c r="B20" i="34"/>
  <c r="C20" i="34"/>
  <c r="B19" i="34"/>
  <c r="C19" i="34"/>
  <c r="B18" i="34"/>
  <c r="C18" i="34"/>
  <c r="B27" i="34"/>
  <c r="C27" i="34"/>
  <c r="B43" i="34"/>
  <c r="C43" i="34"/>
  <c r="B35" i="34"/>
  <c r="C35" i="34"/>
  <c r="B26" i="34"/>
  <c r="C26" i="34"/>
  <c r="B4" i="34"/>
  <c r="C4" i="34"/>
  <c r="B3" i="34"/>
  <c r="C3" i="34"/>
  <c r="B7" i="34"/>
  <c r="C7" i="34"/>
  <c r="B5" i="34"/>
  <c r="C5" i="34"/>
  <c r="B1" i="34"/>
  <c r="C1" i="34"/>
  <c r="B6" i="34"/>
  <c r="C6" i="34"/>
  <c r="B8" i="34"/>
  <c r="C8" i="34"/>
  <c r="B2" i="34"/>
  <c r="C2" i="34"/>
  <c r="B93" i="31"/>
  <c r="C93" i="31"/>
  <c r="B92" i="31"/>
  <c r="C92" i="31"/>
  <c r="B88" i="31"/>
  <c r="C88" i="31"/>
  <c r="B86" i="31"/>
  <c r="C86" i="31"/>
  <c r="B85" i="31"/>
  <c r="C85" i="31"/>
  <c r="B84" i="31"/>
  <c r="C84" i="31"/>
  <c r="B83" i="31"/>
  <c r="C83" i="31"/>
  <c r="B82" i="31"/>
  <c r="C82" i="31"/>
  <c r="B91" i="31"/>
  <c r="C91" i="31"/>
  <c r="B90" i="31"/>
  <c r="C90" i="31"/>
  <c r="B87" i="31"/>
  <c r="C87" i="31"/>
  <c r="B89" i="31"/>
  <c r="C89" i="31"/>
  <c r="L62" i="31"/>
  <c r="M62" i="31"/>
  <c r="L61" i="31"/>
  <c r="M61" i="31"/>
  <c r="L59" i="31"/>
  <c r="M59" i="31"/>
  <c r="L64" i="31"/>
  <c r="M64" i="31"/>
  <c r="L63" i="31"/>
  <c r="M63" i="31"/>
  <c r="L58" i="31"/>
  <c r="M58" i="31"/>
  <c r="L57" i="31"/>
  <c r="M57" i="31"/>
  <c r="L60" i="31"/>
  <c r="M60" i="31"/>
  <c r="B65" i="31"/>
  <c r="C65" i="31"/>
  <c r="B69" i="31"/>
  <c r="C69" i="31"/>
  <c r="B75" i="31"/>
  <c r="C75" i="31"/>
  <c r="B67" i="31"/>
  <c r="C67" i="31"/>
  <c r="B78" i="31"/>
  <c r="C78" i="31"/>
  <c r="B77" i="31"/>
  <c r="C77" i="31"/>
  <c r="B70" i="31"/>
  <c r="C70" i="31"/>
  <c r="B76" i="31"/>
  <c r="C76" i="31"/>
  <c r="B74" i="31"/>
  <c r="C74" i="31"/>
  <c r="B73" i="31"/>
  <c r="C73" i="31"/>
  <c r="B66" i="31"/>
  <c r="C66" i="31"/>
  <c r="B72" i="31"/>
  <c r="C72" i="31"/>
  <c r="B71" i="31"/>
  <c r="C71" i="31"/>
  <c r="B68" i="31"/>
  <c r="C68" i="31"/>
  <c r="C57" i="31"/>
  <c r="B57" i="31"/>
  <c r="A57" i="31"/>
  <c r="B52" i="33"/>
  <c r="C52" i="33"/>
  <c r="B51" i="33"/>
  <c r="C51" i="33"/>
  <c r="B50" i="33"/>
  <c r="C50" i="33"/>
  <c r="B48" i="33"/>
  <c r="C48" i="33"/>
  <c r="B47" i="33"/>
  <c r="C47" i="33"/>
  <c r="B49" i="33"/>
  <c r="C49" i="33"/>
  <c r="B40" i="33"/>
  <c r="C40" i="33"/>
  <c r="B39" i="33"/>
  <c r="C39" i="33"/>
  <c r="B38" i="33"/>
  <c r="C38" i="33"/>
  <c r="B41" i="33"/>
  <c r="C41" i="33"/>
  <c r="B37" i="33"/>
  <c r="C37" i="33"/>
  <c r="B36" i="33"/>
  <c r="C36" i="33"/>
  <c r="B44" i="33"/>
  <c r="C44" i="33"/>
  <c r="B46" i="33"/>
  <c r="C46" i="33"/>
  <c r="B45" i="33"/>
  <c r="C45" i="33"/>
  <c r="B43" i="33"/>
  <c r="C43" i="33"/>
  <c r="B42" i="33"/>
  <c r="C42" i="33"/>
  <c r="B28" i="33"/>
  <c r="C28" i="33"/>
  <c r="B30" i="33"/>
  <c r="C30" i="33"/>
  <c r="B31" i="33"/>
  <c r="C31" i="33"/>
  <c r="B32" i="33"/>
  <c r="C32" i="33"/>
  <c r="B29" i="33"/>
  <c r="C29" i="33"/>
  <c r="B24" i="33"/>
  <c r="C24" i="33"/>
  <c r="B27" i="33"/>
  <c r="C27" i="33"/>
  <c r="B26" i="33"/>
  <c r="C26" i="33"/>
  <c r="B25" i="33"/>
  <c r="C25" i="33"/>
  <c r="K14" i="33"/>
  <c r="L14" i="33"/>
  <c r="K12" i="33"/>
  <c r="L12" i="33"/>
  <c r="K20" i="33"/>
  <c r="L20" i="33"/>
  <c r="K19" i="33"/>
  <c r="L19" i="33"/>
  <c r="K8" i="33"/>
  <c r="L8" i="33"/>
  <c r="K18" i="33"/>
  <c r="L18" i="33"/>
  <c r="K6" i="33"/>
  <c r="L6" i="33"/>
  <c r="K17" i="33"/>
  <c r="L17" i="33"/>
  <c r="K3" i="33"/>
  <c r="L3" i="33"/>
  <c r="K10" i="33"/>
  <c r="L10" i="33"/>
  <c r="K16" i="33"/>
  <c r="L16" i="33"/>
  <c r="K9" i="33"/>
  <c r="L9" i="33"/>
  <c r="K5" i="33"/>
  <c r="L5" i="33"/>
  <c r="K2" i="33"/>
  <c r="L2" i="33"/>
  <c r="K4" i="33"/>
  <c r="L4" i="33"/>
  <c r="K15" i="33"/>
  <c r="L15" i="33"/>
  <c r="K13" i="33"/>
  <c r="L13" i="33"/>
  <c r="K11" i="33"/>
  <c r="L11" i="33"/>
  <c r="K7" i="33"/>
  <c r="L7" i="33"/>
  <c r="B21" i="33"/>
  <c r="C21" i="33"/>
  <c r="C20" i="33"/>
  <c r="C19" i="33"/>
  <c r="C18" i="33"/>
  <c r="B11" i="33"/>
  <c r="C11" i="33"/>
  <c r="B10" i="33"/>
  <c r="C10" i="33"/>
  <c r="B9" i="33"/>
  <c r="C9" i="33"/>
  <c r="B8" i="33"/>
  <c r="C8" i="33"/>
  <c r="B7" i="33"/>
  <c r="C7" i="33"/>
  <c r="B4" i="33"/>
  <c r="C4" i="33"/>
  <c r="A4" i="33"/>
  <c r="W14" i="29"/>
  <c r="W3" i="29"/>
  <c r="W8" i="29"/>
  <c r="F14" i="29"/>
  <c r="E14" i="29"/>
  <c r="D14" i="29"/>
  <c r="C14" i="29"/>
  <c r="F9" i="29"/>
  <c r="E9" i="29"/>
  <c r="D9" i="29"/>
  <c r="C9" i="29"/>
  <c r="E16" i="31"/>
  <c r="E8" i="31"/>
  <c r="E5" i="31"/>
  <c r="E4" i="31"/>
  <c r="E72" i="32"/>
  <c r="E55" i="32"/>
  <c r="E38" i="32"/>
  <c r="E37" i="32"/>
  <c r="Q53" i="31"/>
  <c r="Q52" i="31"/>
  <c r="K40" i="31"/>
  <c r="Q51" i="31"/>
  <c r="Q50" i="31"/>
  <c r="Q49" i="31"/>
  <c r="Q48" i="31"/>
  <c r="Q47" i="31"/>
  <c r="Q46" i="31"/>
  <c r="Q45" i="31"/>
  <c r="Q44" i="31"/>
  <c r="Q43" i="31"/>
  <c r="Q42" i="31"/>
  <c r="Q41" i="31"/>
  <c r="Q40" i="31"/>
  <c r="Q39" i="31"/>
  <c r="Q38" i="31"/>
  <c r="Q37" i="31"/>
  <c r="Q36" i="31"/>
  <c r="Q35" i="31"/>
  <c r="Q34" i="31"/>
  <c r="Q33" i="31"/>
  <c r="Q32" i="31"/>
  <c r="Q31" i="31"/>
  <c r="Q30" i="31"/>
  <c r="Q29" i="31"/>
  <c r="Q28" i="31"/>
  <c r="Q27" i="31"/>
  <c r="Q26" i="31"/>
  <c r="Q25" i="31"/>
  <c r="Q24" i="31"/>
  <c r="Q23" i="31"/>
  <c r="Q22" i="31"/>
  <c r="Q21" i="31"/>
  <c r="Q20" i="31"/>
  <c r="Q19" i="31"/>
  <c r="Q18" i="31"/>
  <c r="Q17" i="31"/>
  <c r="Q16" i="31"/>
  <c r="Q15" i="31"/>
  <c r="Q14" i="31"/>
  <c r="Q13" i="31"/>
  <c r="Q12" i="31"/>
  <c r="Q11" i="31"/>
  <c r="Q10" i="31"/>
  <c r="Q9" i="31"/>
  <c r="Q8" i="31"/>
  <c r="Q7" i="31"/>
  <c r="Q6" i="31"/>
  <c r="Q5" i="31"/>
  <c r="Q4" i="31"/>
  <c r="Q3" i="31"/>
  <c r="K39" i="31"/>
  <c r="K38" i="31"/>
  <c r="K37" i="31"/>
  <c r="K36" i="31"/>
  <c r="K35" i="31"/>
  <c r="K34" i="31"/>
  <c r="K33" i="31"/>
  <c r="K32" i="31"/>
  <c r="K31" i="31"/>
  <c r="K30" i="31"/>
  <c r="K29" i="31"/>
  <c r="K28" i="31"/>
  <c r="K27" i="31"/>
  <c r="K26" i="31"/>
  <c r="K25" i="31"/>
  <c r="K24" i="31"/>
  <c r="K23" i="31"/>
  <c r="K22" i="31"/>
  <c r="K21" i="31"/>
  <c r="K20" i="31"/>
  <c r="K19" i="31"/>
  <c r="K18" i="31"/>
  <c r="K17" i="31"/>
  <c r="K16" i="31"/>
  <c r="K15" i="31"/>
  <c r="K14" i="31"/>
  <c r="K13" i="31"/>
  <c r="K12" i="31"/>
  <c r="K11" i="31"/>
  <c r="K10" i="31"/>
  <c r="K9" i="31"/>
  <c r="K8" i="31"/>
  <c r="K7" i="31"/>
  <c r="K6" i="31"/>
  <c r="K5" i="31"/>
  <c r="K4" i="31"/>
  <c r="K3" i="31"/>
  <c r="E19" i="31"/>
  <c r="E18" i="31"/>
  <c r="E17" i="31"/>
  <c r="E15" i="31"/>
  <c r="E14" i="31"/>
  <c r="E13" i="31"/>
  <c r="E12" i="31"/>
  <c r="E11" i="31"/>
  <c r="E10" i="31"/>
  <c r="E9" i="31"/>
  <c r="E7" i="31"/>
  <c r="E6" i="31"/>
  <c r="E3" i="31"/>
  <c r="C99" i="30"/>
  <c r="D99" i="30"/>
  <c r="C91" i="30"/>
  <c r="D91" i="30"/>
  <c r="C94" i="30"/>
  <c r="D94" i="30"/>
  <c r="C92" i="30"/>
  <c r="D92" i="30"/>
  <c r="C96" i="30"/>
  <c r="D96" i="30"/>
  <c r="C100" i="30"/>
  <c r="D100" i="30"/>
  <c r="C93" i="30"/>
  <c r="D93" i="30"/>
  <c r="C95" i="30"/>
  <c r="D95" i="30"/>
  <c r="C98" i="30"/>
  <c r="D98" i="30"/>
  <c r="C97" i="30"/>
  <c r="D97" i="30"/>
  <c r="C90" i="30"/>
  <c r="D90" i="30"/>
  <c r="M79" i="30"/>
  <c r="N79" i="30"/>
  <c r="M84" i="30"/>
  <c r="N84" i="30"/>
  <c r="M83" i="30"/>
  <c r="N83" i="30"/>
  <c r="M82" i="30"/>
  <c r="N82" i="30"/>
  <c r="M81" i="30"/>
  <c r="N81" i="30"/>
  <c r="M80" i="30"/>
  <c r="N80" i="30"/>
  <c r="C80" i="30"/>
  <c r="C81" i="30"/>
  <c r="B80" i="30"/>
  <c r="B81" i="30"/>
  <c r="H30" i="30"/>
  <c r="H27" i="30"/>
  <c r="H26" i="30"/>
  <c r="X5" i="30"/>
  <c r="X6" i="30"/>
  <c r="X7" i="30"/>
  <c r="X10" i="30"/>
  <c r="X11" i="30"/>
  <c r="X22" i="30"/>
  <c r="X25" i="30"/>
  <c r="X26" i="30"/>
  <c r="X27" i="30"/>
  <c r="X30" i="30"/>
  <c r="X31" i="30"/>
  <c r="X44" i="30"/>
  <c r="X46" i="30"/>
  <c r="X49" i="30"/>
  <c r="X60" i="30"/>
  <c r="X64" i="30"/>
  <c r="X4" i="30"/>
  <c r="P67" i="30"/>
  <c r="P66" i="30"/>
  <c r="P61" i="30"/>
  <c r="P56" i="30"/>
  <c r="P55" i="30"/>
  <c r="P51" i="30"/>
  <c r="P50" i="30"/>
  <c r="P49" i="30"/>
  <c r="P48" i="30"/>
  <c r="P47" i="30"/>
  <c r="P46" i="30"/>
  <c r="P45" i="30"/>
  <c r="P44" i="30"/>
  <c r="P41" i="30"/>
  <c r="P38" i="30"/>
  <c r="P36" i="30"/>
  <c r="P30" i="30"/>
  <c r="P29" i="30"/>
  <c r="P27" i="30"/>
  <c r="P25" i="30"/>
  <c r="P24" i="30"/>
  <c r="P21" i="30"/>
  <c r="P18" i="30"/>
  <c r="P16" i="30"/>
  <c r="P11" i="30"/>
  <c r="P9" i="30"/>
  <c r="P6" i="30"/>
  <c r="P4" i="30"/>
  <c r="H24" i="30"/>
  <c r="H22" i="30"/>
  <c r="H20" i="30"/>
  <c r="H19" i="30"/>
  <c r="H18" i="30"/>
  <c r="D4" i="29"/>
  <c r="C4" i="29"/>
  <c r="G10" i="27"/>
  <c r="H10" i="27"/>
  <c r="I10" i="27"/>
  <c r="J10" i="27"/>
  <c r="K10" i="27"/>
  <c r="M10" i="27"/>
  <c r="P10" i="27"/>
  <c r="Q10" i="27"/>
  <c r="F10" i="27"/>
  <c r="R8" i="27"/>
  <c r="R9" i="27"/>
  <c r="D80" i="30"/>
  <c r="D81" i="30"/>
  <c r="R14" i="27"/>
  <c r="R10"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Administrador</author>
    <author>Lina Rocio Duran Sanchez</author>
  </authors>
  <commentList>
    <comment ref="A7" authorId="0" shapeId="0" xr:uid="{00000000-0006-0000-1400-000001000000}">
      <text>
        <r>
          <rPr>
            <sz val="8"/>
            <color indexed="81"/>
            <rFont val="Arial"/>
            <family val="2"/>
          </rPr>
          <t>Nombre del Macroproceso al cual pertenece la No conformidad Real o la acción de mejora.</t>
        </r>
        <r>
          <rPr>
            <sz val="9"/>
            <color indexed="81"/>
            <rFont val="Tahoma"/>
            <family val="2"/>
          </rPr>
          <t xml:space="preserve">
</t>
        </r>
      </text>
    </comment>
    <comment ref="F7" authorId="0" shapeId="0" xr:uid="{00000000-0006-0000-1400-000002000000}">
      <text>
        <r>
          <rPr>
            <sz val="8"/>
            <color indexed="81"/>
            <rFont val="Arial"/>
            <family val="2"/>
          </rPr>
          <t>Nombre del proceso involucrado en la No conformidad Real o la acción de mejora.</t>
        </r>
      </text>
    </comment>
    <comment ref="I7" authorId="1" shapeId="0" xr:uid="{00000000-0006-0000-1400-000003000000}">
      <text>
        <r>
          <rPr>
            <b/>
            <sz val="9"/>
            <color indexed="81"/>
            <rFont val="Tahoma"/>
            <family val="2"/>
          </rPr>
          <t>SELECCIONE CON UNA X EL TIPO DE ACCIÓN CORRECTIVA -P PREVENTIVA Y/O DE MEJORA</t>
        </r>
      </text>
    </comment>
    <comment ref="M7" authorId="0" shapeId="0" xr:uid="{00000000-0006-0000-1400-000004000000}">
      <text>
        <r>
          <rPr>
            <sz val="8"/>
            <color indexed="81"/>
            <rFont val="Tahoma"/>
            <family val="2"/>
          </rPr>
          <t xml:space="preserve">Corresponde al Numero consecutivo de la acción correctiva, o de mejora asociada al proceso (1, 2, 3, 4….) </t>
        </r>
      </text>
    </comment>
    <comment ref="A8" authorId="0" shapeId="0" xr:uid="{00000000-0006-0000-1400-000005000000}">
      <text>
        <r>
          <rPr>
            <sz val="8"/>
            <color indexed="81"/>
            <rFont val="Tahoma"/>
            <family val="2"/>
          </rPr>
          <t>Se coloca la fecha en que se diligencia el formato. dd/mm/aaaa.</t>
        </r>
      </text>
    </comment>
    <comment ref="F8" authorId="0" shapeId="0" xr:uid="{00000000-0006-0000-1400-000006000000}">
      <text>
        <r>
          <rPr>
            <sz val="8"/>
            <color indexed="81"/>
            <rFont val="Tahoma"/>
            <family val="2"/>
          </rPr>
          <t>Nombre del dueño o responsable del proceso o procedimiento, quien coordina las actividades de ejecución o seguimiento de la No conformidad Real o la acción de mejora.</t>
        </r>
      </text>
    </comment>
    <comment ref="A9" authorId="0" shapeId="0" xr:uid="{00000000-0006-0000-1400-000007000000}">
      <text>
        <r>
          <rPr>
            <sz val="8"/>
            <color indexed="81"/>
            <rFont val="Tahoma"/>
            <family val="2"/>
          </rPr>
          <t>Marque con una x la casilla que corresponda a la fuente por la cual detecto la no conformidad Reales o la acción de mejora que se desea implementar.</t>
        </r>
      </text>
    </comment>
    <comment ref="A11" authorId="0" shapeId="0" xr:uid="{00000000-0006-0000-1400-000008000000}">
      <text>
        <r>
          <rPr>
            <sz val="8"/>
            <color indexed="81"/>
            <rFont val="Tahoma"/>
            <family val="2"/>
          </rPr>
          <t>Escrito explicativo y descriptivo de la situación que se está presentando o la mejora que se desea implementar.</t>
        </r>
      </text>
    </comment>
    <comment ref="A13" authorId="0" shapeId="0" xr:uid="{00000000-0006-0000-1400-000009000000}">
      <text>
        <r>
          <rPr>
            <sz val="8"/>
            <color indexed="81"/>
            <rFont val="Tahoma"/>
            <family val="2"/>
          </rPr>
          <t>Escrito explicativo de la corrección inmediata de la situación encontrada, no aplica para la acción de mejora.</t>
        </r>
      </text>
    </comment>
    <comment ref="A15" authorId="0" shapeId="0" xr:uid="{00000000-0006-0000-1400-00000A000000}">
      <text>
        <r>
          <rPr>
            <sz val="8"/>
            <color indexed="81"/>
            <rFont val="Tahoma"/>
            <family val="2"/>
          </rPr>
          <t>Metodología utilizada para  definir las posibles causas que originan la No conformidad.
No aplica para la acción de mejora.
Nota: Pueden utilizarse cualquiera de estos dos métodos referenciados de análisis de causas, o cualquier otro, en este caso se debe anexar el o los análisis respectivos.</t>
        </r>
        <r>
          <rPr>
            <sz val="9"/>
            <color indexed="81"/>
            <rFont val="Tahoma"/>
            <family val="2"/>
          </rPr>
          <t xml:space="preserve">
</t>
        </r>
      </text>
    </comment>
    <comment ref="A16" authorId="0" shapeId="0" xr:uid="{00000000-0006-0000-1400-00000B000000}">
      <text>
        <r>
          <rPr>
            <sz val="8"/>
            <color indexed="81"/>
            <rFont val="Tahoma"/>
            <family val="2"/>
          </rPr>
          <t xml:space="preserve">Es el espacio disponible para 
escribir 5 ideas principales del por qué se  originó la situación.
</t>
        </r>
      </text>
    </comment>
    <comment ref="A26" authorId="0" shapeId="0" xr:uid="{00000000-0006-0000-1400-00000C000000}">
      <text>
        <r>
          <rPr>
            <sz val="8"/>
            <color indexed="81"/>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28" authorId="0" shapeId="0" xr:uid="{00000000-0006-0000-1400-00000D000000}">
      <text>
        <r>
          <rPr>
            <sz val="8"/>
            <color indexed="81"/>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r>
          <rPr>
            <sz val="9"/>
            <color indexed="81"/>
            <rFont val="Tahoma"/>
            <family val="2"/>
          </rPr>
          <t xml:space="preserve">
</t>
        </r>
      </text>
    </comment>
    <comment ref="I28" authorId="0" shapeId="0" xr:uid="{00000000-0006-0000-1400-00000E000000}">
      <text>
        <r>
          <rPr>
            <sz val="8"/>
            <color indexed="81"/>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37" authorId="0" shapeId="0" xr:uid="{00000000-0006-0000-1400-00000F000000}">
      <text>
        <r>
          <rPr>
            <sz val="8"/>
            <color indexed="81"/>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I37" authorId="0" shapeId="0" xr:uid="{00000000-0006-0000-1400-000010000000}">
      <text>
        <r>
          <rPr>
            <sz val="8"/>
            <color indexed="81"/>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42" authorId="0" shapeId="0" xr:uid="{00000000-0006-0000-1400-000011000000}">
      <text>
        <r>
          <rPr>
            <sz val="8"/>
            <color indexed="81"/>
            <rFont val="Tahoma"/>
            <family val="2"/>
          </rPr>
          <t>Luego de analizar el problema por cualquier método, defina las causas en un párrafo.</t>
        </r>
      </text>
    </comment>
    <comment ref="A49" authorId="0" shapeId="0" xr:uid="{00000000-0006-0000-1400-000012000000}">
      <text>
        <r>
          <rPr>
            <sz val="8"/>
            <color indexed="81"/>
            <rFont val="Tahoma"/>
            <family val="2"/>
          </rPr>
          <t>Actividades que subsanan la No conformidad presentada.</t>
        </r>
      </text>
    </comment>
    <comment ref="L49" authorId="0" shapeId="0" xr:uid="{00000000-0006-0000-1400-000013000000}">
      <text>
        <r>
          <rPr>
            <sz val="8"/>
            <color indexed="81"/>
            <rFont val="Tahoma"/>
            <family val="2"/>
          </rPr>
          <t>Metodología utilizada para corroborar la eficacia de las tareas propuestas en el plan de acción.</t>
        </r>
        <r>
          <rPr>
            <sz val="9"/>
            <color indexed="81"/>
            <rFont val="Tahoma"/>
            <family val="2"/>
          </rPr>
          <t xml:space="preserve">
</t>
        </r>
      </text>
    </comment>
    <comment ref="A51" authorId="0" shapeId="0" xr:uid="{00000000-0006-0000-1400-000014000000}">
      <text>
        <r>
          <rPr>
            <sz val="8"/>
            <color indexed="81"/>
            <rFont val="Tahoma"/>
            <family val="2"/>
          </rPr>
          <t>Describen todas las tareas necesarias que se van a realizar en el plan de acción y seguimiento para eliminar las causas detectadas.</t>
        </r>
        <r>
          <rPr>
            <sz val="9"/>
            <color indexed="81"/>
            <rFont val="Tahoma"/>
            <family val="2"/>
          </rPr>
          <t xml:space="preserve">
</t>
        </r>
      </text>
    </comment>
    <comment ref="G51" authorId="0" shapeId="0" xr:uid="{00000000-0006-0000-1400-000015000000}">
      <text>
        <r>
          <rPr>
            <sz val="8"/>
            <color indexed="81"/>
            <rFont val="Tahoma"/>
            <family val="2"/>
          </rPr>
          <t>Se escribe el nombre de cada responsable de la tarea a implantar.</t>
        </r>
        <r>
          <rPr>
            <sz val="9"/>
            <color indexed="81"/>
            <rFont val="Tahoma"/>
            <family val="2"/>
          </rPr>
          <t xml:space="preserve">
</t>
        </r>
      </text>
    </comment>
    <comment ref="I51" authorId="0" shapeId="0" xr:uid="{00000000-0006-0000-1400-000016000000}">
      <text>
        <r>
          <rPr>
            <sz val="8"/>
            <color indexed="81"/>
            <rFont val="Tahoma"/>
            <family val="2"/>
          </rPr>
          <t>Fecha estimada de la terminación de la tarea a realizar. dd/mm/aaaa</t>
        </r>
        <r>
          <rPr>
            <sz val="9"/>
            <color indexed="81"/>
            <rFont val="Tahoma"/>
            <family val="2"/>
          </rPr>
          <t xml:space="preserve">
</t>
        </r>
      </text>
    </comment>
    <comment ref="J51" authorId="0" shapeId="0" xr:uid="{00000000-0006-0000-1400-000017000000}">
      <text>
        <r>
          <rPr>
            <sz val="8"/>
            <color indexed="81"/>
            <rFont val="Tahoma"/>
            <family val="2"/>
          </rPr>
          <t>Fecha en la que el responsable de verificar el cumplimiento de las tareas hace la validación de su ejecución.</t>
        </r>
      </text>
    </comment>
    <comment ref="K51" authorId="1" shapeId="0" xr:uid="{00000000-0006-0000-1400-000018000000}">
      <text>
        <r>
          <rPr>
            <sz val="9"/>
            <color indexed="81"/>
            <rFont val="Tahoma"/>
            <family val="2"/>
          </rPr>
          <t xml:space="preserve">Se realiza una observación sobre el estadso de la accion , en caso de no finalizada la tarea se acuerda otro plazo 
</t>
        </r>
      </text>
    </comment>
    <comment ref="N51" authorId="1" shapeId="0" xr:uid="{00000000-0006-0000-1400-000019000000}">
      <text>
        <r>
          <rPr>
            <b/>
            <sz val="9"/>
            <color indexed="81"/>
            <rFont val="Tahoma"/>
            <family val="2"/>
          </rPr>
          <t>Nombre y cargo del encargado del seguimiento</t>
        </r>
      </text>
    </comment>
    <comment ref="A60" authorId="0" shapeId="0" xr:uid="{00000000-0006-0000-1400-00001A000000}">
      <text>
        <r>
          <rPr>
            <sz val="8"/>
            <color indexed="81"/>
            <rFont val="Tahoma"/>
            <family val="2"/>
          </rPr>
          <t>Una vez finiquitado el plan de acción se procede a verificar la eficacia de la acción tomada, es decir si las acciones fueron adecuadas para eliminar las causas que originaron la No conformidad y que permiten evitar su ocurrencia.
Para el caso de una acción de mejora se verifica que las acciones tomadas sean coherentes con la mejora que se desea implementar.
Marque con una “X” la casilla según corresponda referente a la eficacia de la  acción que tomó.</t>
        </r>
        <r>
          <rPr>
            <sz val="9"/>
            <color indexed="81"/>
            <rFont val="Tahoma"/>
            <family val="2"/>
          </rPr>
          <t xml:space="preserve">
</t>
        </r>
      </text>
    </comment>
    <comment ref="F60" authorId="0" shapeId="0" xr:uid="{00000000-0006-0000-1400-00001B000000}">
      <text>
        <r>
          <rPr>
            <sz val="8"/>
            <color indexed="81"/>
            <rFont val="Tahoma"/>
            <family val="2"/>
          </rPr>
          <t>Una vez finiquitado el plan de acción se procede a verificar la eficacia de la acción tomada, es decir si las acciones fueron adecuadas para eliminar las causas que originaron la No conformidad y que permiten evitar su ocurrencia.
Para el caso de una acción de mejora se verifica que las acciones tomadas sean coherentes con la mejora que se desea implementar.
Marque con una “X” la casilla según corresponda referente a la eficacia de la  acción que tomó.</t>
        </r>
        <r>
          <rPr>
            <sz val="9"/>
            <color indexed="81"/>
            <rFont val="Tahoma"/>
            <family val="2"/>
          </rPr>
          <t xml:space="preserve">
</t>
        </r>
      </text>
    </comment>
    <comment ref="J60" authorId="0" shapeId="0" xr:uid="{00000000-0006-0000-1400-00001C000000}">
      <text>
        <r>
          <rPr>
            <sz val="8"/>
            <color indexed="81"/>
            <rFont val="Tahoma"/>
            <family val="2"/>
          </rPr>
          <t>Se coloca la fecha del día que el responsable de evidenciar el cierre  de las actividades hizo su función. dd/mm/aaaa
En el caso que el plan de acción no haya sido   eficaz, no es posible diligenciar la fecha de cierre de la acción correctiva.</t>
        </r>
        <r>
          <rPr>
            <b/>
            <sz val="9"/>
            <color indexed="81"/>
            <rFont val="Tahoma"/>
            <family val="2"/>
          </rPr>
          <t xml:space="preserve">
</t>
        </r>
        <r>
          <rPr>
            <sz val="9"/>
            <color indexed="81"/>
            <rFont val="Tahoma"/>
            <family val="2"/>
          </rPr>
          <t xml:space="preserve">
</t>
        </r>
      </text>
    </comment>
    <comment ref="A61" authorId="0" shapeId="0" xr:uid="{00000000-0006-0000-1400-00001D000000}">
      <text>
        <r>
          <rPr>
            <sz val="8"/>
            <color indexed="81"/>
            <rFont val="Tahoma"/>
            <family val="2"/>
          </rPr>
          <t>Se describe cual fue el impacto o la efectividad que causo la acción correctiva en Entidad o en los grupos de interés.</t>
        </r>
        <r>
          <rPr>
            <sz val="9"/>
            <color indexed="81"/>
            <rFont val="Tahoma"/>
            <family val="2"/>
          </rPr>
          <t xml:space="preserve">
</t>
        </r>
      </text>
    </comment>
    <comment ref="I64" authorId="0" shapeId="0" xr:uid="{00000000-0006-0000-1400-00001E000000}">
      <text>
        <r>
          <rPr>
            <sz val="8"/>
            <color indexed="81"/>
            <rFont val="Tahoma"/>
            <family val="2"/>
          </rPr>
          <t>Se escribe el nombre y firma  de la persona   encargada  de realizar el seguimiento de la acción correctiva. Generalmente esta persona es el Coordinador del Sistema de Gestión de Calidad o el auditor que detectó el hallazgo.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Administrador</author>
    <author>Lina Rocio Duran Sanchez</author>
  </authors>
  <commentList>
    <comment ref="A7" authorId="0" shapeId="0" xr:uid="{00000000-0006-0000-1500-000001000000}">
      <text>
        <r>
          <rPr>
            <sz val="8"/>
            <color indexed="81"/>
            <rFont val="Arial"/>
            <family val="2"/>
          </rPr>
          <t>Nombre del Macroproceso al cual pertenece la No conformidad Real o la acción de mejora.</t>
        </r>
        <r>
          <rPr>
            <sz val="9"/>
            <color indexed="81"/>
            <rFont val="Tahoma"/>
            <family val="2"/>
          </rPr>
          <t xml:space="preserve">
</t>
        </r>
      </text>
    </comment>
    <comment ref="F7" authorId="0" shapeId="0" xr:uid="{00000000-0006-0000-1500-000002000000}">
      <text>
        <r>
          <rPr>
            <sz val="8"/>
            <color indexed="81"/>
            <rFont val="Arial"/>
            <family val="2"/>
          </rPr>
          <t>Nombre del proceso involucrado en la No conformidad Real o la acción de mejora.</t>
        </r>
      </text>
    </comment>
    <comment ref="I7" authorId="1" shapeId="0" xr:uid="{00000000-0006-0000-1500-000003000000}">
      <text>
        <r>
          <rPr>
            <b/>
            <sz val="9"/>
            <color indexed="81"/>
            <rFont val="Tahoma"/>
            <family val="2"/>
          </rPr>
          <t>SELECCIONE CON UNA X EL TIPO DE ACCIÓN CORRECTIVA -P PREVENTIVA Y/O DE MEJORA</t>
        </r>
      </text>
    </comment>
    <comment ref="M7" authorId="0" shapeId="0" xr:uid="{00000000-0006-0000-1500-000004000000}">
      <text>
        <r>
          <rPr>
            <sz val="8"/>
            <color indexed="81"/>
            <rFont val="Tahoma"/>
            <family val="2"/>
          </rPr>
          <t xml:space="preserve">Corresponde al Numero consecutivo de la acción correctiva, o de mejora asociada al proceso (1, 2, 3, 4….) </t>
        </r>
      </text>
    </comment>
    <comment ref="A8" authorId="0" shapeId="0" xr:uid="{00000000-0006-0000-1500-000005000000}">
      <text>
        <r>
          <rPr>
            <sz val="8"/>
            <color indexed="81"/>
            <rFont val="Tahoma"/>
            <family val="2"/>
          </rPr>
          <t>Se coloca la fecha en que se diligencia el formato. dd/mm/aaaa.</t>
        </r>
      </text>
    </comment>
    <comment ref="F8" authorId="0" shapeId="0" xr:uid="{00000000-0006-0000-1500-000006000000}">
      <text>
        <r>
          <rPr>
            <sz val="8"/>
            <color indexed="81"/>
            <rFont val="Tahoma"/>
            <family val="2"/>
          </rPr>
          <t>Nombre del dueño o responsable del proceso o procedimiento, quien coordina las actividades de ejecución o seguimiento de la No conformidad Real o la acción de mejora.</t>
        </r>
      </text>
    </comment>
    <comment ref="A9" authorId="0" shapeId="0" xr:uid="{00000000-0006-0000-1500-000007000000}">
      <text>
        <r>
          <rPr>
            <sz val="8"/>
            <color indexed="81"/>
            <rFont val="Tahoma"/>
            <family val="2"/>
          </rPr>
          <t>Marque con una x la casilla que corresponda a la fuente por la cual detecto la no conformidad Reales o la acción de mejora que se desea implementar.</t>
        </r>
      </text>
    </comment>
    <comment ref="A11" authorId="0" shapeId="0" xr:uid="{00000000-0006-0000-1500-000008000000}">
      <text>
        <r>
          <rPr>
            <sz val="8"/>
            <color indexed="81"/>
            <rFont val="Tahoma"/>
            <family val="2"/>
          </rPr>
          <t>Escrito explicativo y descriptivo de la situación que se está presentando o la mejora que se desea implementar.</t>
        </r>
      </text>
    </comment>
    <comment ref="A13" authorId="0" shapeId="0" xr:uid="{00000000-0006-0000-1500-000009000000}">
      <text>
        <r>
          <rPr>
            <sz val="8"/>
            <color indexed="81"/>
            <rFont val="Tahoma"/>
            <family val="2"/>
          </rPr>
          <t>Escrito explicativo de la corrección inmediata de la situación encontrada, no aplica para la acción de mejora.</t>
        </r>
      </text>
    </comment>
    <comment ref="A15" authorId="0" shapeId="0" xr:uid="{00000000-0006-0000-1500-00000A000000}">
      <text>
        <r>
          <rPr>
            <sz val="8"/>
            <color indexed="81"/>
            <rFont val="Tahoma"/>
            <family val="2"/>
          </rPr>
          <t>Metodología utilizada para  definir las posibles causas que originan la No conformidad.
No aplica para la acción de mejora.
Nota: Pueden utilizarse cualquiera de estos dos métodos referenciados de análisis de causas, o cualquier otro, en este caso se debe anexar el o los análisis respectivos.</t>
        </r>
        <r>
          <rPr>
            <sz val="9"/>
            <color indexed="81"/>
            <rFont val="Tahoma"/>
            <family val="2"/>
          </rPr>
          <t xml:space="preserve">
</t>
        </r>
      </text>
    </comment>
    <comment ref="A16" authorId="0" shapeId="0" xr:uid="{00000000-0006-0000-1500-00000B000000}">
      <text>
        <r>
          <rPr>
            <sz val="8"/>
            <color indexed="81"/>
            <rFont val="Tahoma"/>
            <family val="2"/>
          </rPr>
          <t xml:space="preserve">Es el espacio disponible para 
escribir 5 ideas principales del por qué se  originó la situación.
</t>
        </r>
      </text>
    </comment>
    <comment ref="A26" authorId="0" shapeId="0" xr:uid="{00000000-0006-0000-1500-00000C000000}">
      <text>
        <r>
          <rPr>
            <sz val="8"/>
            <color indexed="81"/>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28" authorId="0" shapeId="0" xr:uid="{00000000-0006-0000-1500-00000D000000}">
      <text>
        <r>
          <rPr>
            <sz val="8"/>
            <color indexed="81"/>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r>
          <rPr>
            <sz val="9"/>
            <color indexed="81"/>
            <rFont val="Tahoma"/>
            <family val="2"/>
          </rPr>
          <t xml:space="preserve">
</t>
        </r>
      </text>
    </comment>
    <comment ref="I28" authorId="0" shapeId="0" xr:uid="{00000000-0006-0000-1500-00000E000000}">
      <text>
        <r>
          <rPr>
            <sz val="8"/>
            <color indexed="81"/>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37" authorId="0" shapeId="0" xr:uid="{00000000-0006-0000-1500-00000F000000}">
      <text>
        <r>
          <rPr>
            <sz val="8"/>
            <color indexed="81"/>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I37" authorId="0" shapeId="0" xr:uid="{00000000-0006-0000-1500-000010000000}">
      <text>
        <r>
          <rPr>
            <sz val="8"/>
            <color indexed="81"/>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42" authorId="0" shapeId="0" xr:uid="{00000000-0006-0000-1500-000011000000}">
      <text>
        <r>
          <rPr>
            <sz val="8"/>
            <color indexed="81"/>
            <rFont val="Tahoma"/>
            <family val="2"/>
          </rPr>
          <t>Luego de analizar el problema por cualquier método, defina las causas en un párrafo.</t>
        </r>
      </text>
    </comment>
    <comment ref="A49" authorId="0" shapeId="0" xr:uid="{00000000-0006-0000-1500-000012000000}">
      <text>
        <r>
          <rPr>
            <sz val="8"/>
            <color indexed="81"/>
            <rFont val="Tahoma"/>
            <family val="2"/>
          </rPr>
          <t>Actividades que subsanan la No conformidad presentada.</t>
        </r>
      </text>
    </comment>
    <comment ref="I49" authorId="0" shapeId="0" xr:uid="{00000000-0006-0000-1500-000013000000}">
      <text>
        <r>
          <rPr>
            <sz val="8"/>
            <color indexed="81"/>
            <rFont val="Tahoma"/>
            <family val="2"/>
          </rPr>
          <t>Metodología utilizada para corroborar la eficacia de las tareas propuestas en el plan de acción.</t>
        </r>
        <r>
          <rPr>
            <sz val="9"/>
            <color indexed="81"/>
            <rFont val="Tahoma"/>
            <family val="2"/>
          </rPr>
          <t xml:space="preserve">
</t>
        </r>
      </text>
    </comment>
    <comment ref="A51" authorId="0" shapeId="0" xr:uid="{00000000-0006-0000-1500-000014000000}">
      <text>
        <r>
          <rPr>
            <sz val="8"/>
            <color indexed="81"/>
            <rFont val="Tahoma"/>
            <family val="2"/>
          </rPr>
          <t>Describen todas las tareas necesarias que se van a realizar en el plan de acción y seguimiento para eliminar las causas detectadas.</t>
        </r>
        <r>
          <rPr>
            <sz val="9"/>
            <color indexed="81"/>
            <rFont val="Tahoma"/>
            <family val="2"/>
          </rPr>
          <t xml:space="preserve">
</t>
        </r>
      </text>
    </comment>
    <comment ref="G51" authorId="0" shapeId="0" xr:uid="{00000000-0006-0000-1500-000015000000}">
      <text>
        <r>
          <rPr>
            <sz val="8"/>
            <color indexed="81"/>
            <rFont val="Tahoma"/>
            <family val="2"/>
          </rPr>
          <t>Se escribe el nombre de cada responsable de la tarea a implantar.</t>
        </r>
        <r>
          <rPr>
            <sz val="9"/>
            <color indexed="81"/>
            <rFont val="Tahoma"/>
            <family val="2"/>
          </rPr>
          <t xml:space="preserve">
</t>
        </r>
      </text>
    </comment>
    <comment ref="I51" authorId="0" shapeId="0" xr:uid="{00000000-0006-0000-1500-000016000000}">
      <text>
        <r>
          <rPr>
            <sz val="8"/>
            <color indexed="81"/>
            <rFont val="Tahoma"/>
            <family val="2"/>
          </rPr>
          <t>Fecha estimada de la terminación de la tarea a realizar. dd/mm/aaaa</t>
        </r>
        <r>
          <rPr>
            <sz val="9"/>
            <color indexed="81"/>
            <rFont val="Tahoma"/>
            <family val="2"/>
          </rPr>
          <t xml:space="preserve">
</t>
        </r>
      </text>
    </comment>
    <comment ref="J51" authorId="0" shapeId="0" xr:uid="{00000000-0006-0000-1500-000017000000}">
      <text>
        <r>
          <rPr>
            <sz val="8"/>
            <color indexed="81"/>
            <rFont val="Tahoma"/>
            <family val="2"/>
          </rPr>
          <t>Fecha en la que el responsable de verificar el cumplimiento de las tareas hace la validación de su ejecución.</t>
        </r>
      </text>
    </comment>
    <comment ref="A55" authorId="0" shapeId="0" xr:uid="{00000000-0006-0000-1500-000018000000}">
      <text>
        <r>
          <rPr>
            <sz val="8"/>
            <color indexed="81"/>
            <rFont val="Tahoma"/>
            <family val="2"/>
          </rPr>
          <t>Una vez finiquitado el plan de acción se procede a verificar la eficacia de la acción tomada, es decir si las acciones fueron adecuadas para eliminar las causas que originaron la No conformidad y que permiten evitar su ocurrencia.
Para el caso de una acción de mejora se verifica que las acciones tomadas sean coherentes con la mejora que se desea implementar.
Marque con una “X” la casilla según corresponda referente a la eficacia de la  acción que tomó.</t>
        </r>
        <r>
          <rPr>
            <sz val="9"/>
            <color indexed="81"/>
            <rFont val="Tahoma"/>
            <family val="2"/>
          </rPr>
          <t xml:space="preserve">
</t>
        </r>
      </text>
    </comment>
    <comment ref="F55" authorId="0" shapeId="0" xr:uid="{00000000-0006-0000-1500-000019000000}">
      <text>
        <r>
          <rPr>
            <sz val="8"/>
            <color indexed="81"/>
            <rFont val="Tahoma"/>
            <family val="2"/>
          </rPr>
          <t>Una vez finiquitado el plan de acción se procede a verificar la eficacia de la acción tomada, es decir si las acciones fueron adecuadas para eliminar las causas que originaron la No conformidad y que permiten evitar su ocurrencia.
Para el caso de una acción de mejora se verifica que las acciones tomadas sean coherentes con la mejora que se desea implementar.
Marque con una “X” la casilla según corresponda referente a la eficacia de la  acción que tomó.</t>
        </r>
        <r>
          <rPr>
            <sz val="9"/>
            <color indexed="81"/>
            <rFont val="Tahoma"/>
            <family val="2"/>
          </rPr>
          <t xml:space="preserve">
</t>
        </r>
      </text>
    </comment>
    <comment ref="J55" authorId="0" shapeId="0" xr:uid="{00000000-0006-0000-1500-00001A000000}">
      <text>
        <r>
          <rPr>
            <sz val="8"/>
            <color indexed="81"/>
            <rFont val="Tahoma"/>
            <family val="2"/>
          </rPr>
          <t>Se coloca la fecha del día que el responsable de evidenciar el cierre  de las actividades hizo su función. dd/mm/aaaa
En el caso que el plan de acción no haya sido   eficaz, no es posible diligenciar la fecha de cierre de la acción correctiva.</t>
        </r>
        <r>
          <rPr>
            <b/>
            <sz val="9"/>
            <color indexed="81"/>
            <rFont val="Tahoma"/>
            <family val="2"/>
          </rPr>
          <t xml:space="preserve">
</t>
        </r>
        <r>
          <rPr>
            <sz val="9"/>
            <color indexed="81"/>
            <rFont val="Tahoma"/>
            <family val="2"/>
          </rPr>
          <t xml:space="preserve">
</t>
        </r>
      </text>
    </comment>
    <comment ref="A56" authorId="0" shapeId="0" xr:uid="{00000000-0006-0000-1500-00001B000000}">
      <text>
        <r>
          <rPr>
            <sz val="8"/>
            <color indexed="81"/>
            <rFont val="Tahoma"/>
            <family val="2"/>
          </rPr>
          <t>Se describe cual fue el impacto o la efectividad que causo la acción correctiva en Entidad o en los grupos de interés.</t>
        </r>
        <r>
          <rPr>
            <sz val="9"/>
            <color indexed="81"/>
            <rFont val="Tahoma"/>
            <family val="2"/>
          </rPr>
          <t xml:space="preserve">
</t>
        </r>
      </text>
    </comment>
    <comment ref="I59" authorId="0" shapeId="0" xr:uid="{00000000-0006-0000-1500-00001C000000}">
      <text>
        <r>
          <rPr>
            <sz val="8"/>
            <color indexed="81"/>
            <rFont val="Tahoma"/>
            <family val="2"/>
          </rPr>
          <t>Se escribe el nombre y firma  de la persona   encargada  de realizar el seguimiento de la acción correctiva. Generalmente esta persona es el Coordinador del Sistema de Gestión de Calidad o el auditor que detectó el hallazgo.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Administrador</author>
    <author>Lina Rocio Duran Sanchez</author>
  </authors>
  <commentList>
    <comment ref="A7" authorId="0" shapeId="0" xr:uid="{00000000-0006-0000-1600-000001000000}">
      <text>
        <r>
          <rPr>
            <sz val="8"/>
            <color indexed="81"/>
            <rFont val="Arial"/>
            <family val="2"/>
          </rPr>
          <t>Nombre del Macroproceso al cual pertenece la No conformidad Real o la acción de mejora.</t>
        </r>
        <r>
          <rPr>
            <sz val="9"/>
            <color indexed="81"/>
            <rFont val="Tahoma"/>
            <family val="2"/>
          </rPr>
          <t xml:space="preserve">
</t>
        </r>
      </text>
    </comment>
    <comment ref="F7" authorId="0" shapeId="0" xr:uid="{00000000-0006-0000-1600-000002000000}">
      <text>
        <r>
          <rPr>
            <sz val="8"/>
            <color indexed="81"/>
            <rFont val="Arial"/>
            <family val="2"/>
          </rPr>
          <t>Nombre del proceso involucrado en la No conformidad Real o la acción de mejora.</t>
        </r>
      </text>
    </comment>
    <comment ref="I7" authorId="1" shapeId="0" xr:uid="{00000000-0006-0000-1600-000003000000}">
      <text>
        <r>
          <rPr>
            <b/>
            <sz val="9"/>
            <color indexed="81"/>
            <rFont val="Tahoma"/>
            <family val="2"/>
          </rPr>
          <t>SELECCIONE CON UNA X EL TIPO DE ACCIÓN CORRECTIVA -P PREVENTIVA Y/O DE MEJORA</t>
        </r>
      </text>
    </comment>
    <comment ref="M7" authorId="0" shapeId="0" xr:uid="{00000000-0006-0000-1600-000004000000}">
      <text>
        <r>
          <rPr>
            <sz val="8"/>
            <color indexed="81"/>
            <rFont val="Tahoma"/>
            <family val="2"/>
          </rPr>
          <t xml:space="preserve">Corresponde al Numero consecutivo de la acción correctiva, o de mejora asociada al proceso (1, 2, 3, 4….) </t>
        </r>
      </text>
    </comment>
    <comment ref="A8" authorId="0" shapeId="0" xr:uid="{00000000-0006-0000-1600-000005000000}">
      <text>
        <r>
          <rPr>
            <sz val="8"/>
            <color indexed="81"/>
            <rFont val="Tahoma"/>
            <family val="2"/>
          </rPr>
          <t>Se coloca la fecha en que se diligencia el formato. dd/mm/aaaa.</t>
        </r>
      </text>
    </comment>
    <comment ref="F8" authorId="0" shapeId="0" xr:uid="{00000000-0006-0000-1600-000006000000}">
      <text>
        <r>
          <rPr>
            <sz val="8"/>
            <color indexed="81"/>
            <rFont val="Tahoma"/>
            <family val="2"/>
          </rPr>
          <t>Nombre del dueño o responsable del proceso o procedimiento, quien coordina las actividades de ejecución o seguimiento de la No conformidad Real o la acción de mejora.</t>
        </r>
      </text>
    </comment>
    <comment ref="A9" authorId="0" shapeId="0" xr:uid="{00000000-0006-0000-1600-000007000000}">
      <text>
        <r>
          <rPr>
            <sz val="8"/>
            <color indexed="81"/>
            <rFont val="Tahoma"/>
            <family val="2"/>
          </rPr>
          <t>Marque con una x la casilla que corresponda a la fuente por la cual detecto la no conformidad Reales o la acción de mejora que se desea implementar.</t>
        </r>
      </text>
    </comment>
    <comment ref="A11" authorId="0" shapeId="0" xr:uid="{00000000-0006-0000-1600-000008000000}">
      <text>
        <r>
          <rPr>
            <sz val="8"/>
            <color indexed="81"/>
            <rFont val="Tahoma"/>
            <family val="2"/>
          </rPr>
          <t>Escrito explicativo y descriptivo de la situación que se está presentando o la mejora que se desea implementar.</t>
        </r>
      </text>
    </comment>
    <comment ref="A13" authorId="0" shapeId="0" xr:uid="{00000000-0006-0000-1600-000009000000}">
      <text>
        <r>
          <rPr>
            <sz val="8"/>
            <color indexed="81"/>
            <rFont val="Tahoma"/>
            <family val="2"/>
          </rPr>
          <t>Escrito explicativo de la corrección inmediata de la situación encontrada, no aplica para la acción de mejora.</t>
        </r>
      </text>
    </comment>
    <comment ref="A15" authorId="0" shapeId="0" xr:uid="{00000000-0006-0000-1600-00000A000000}">
      <text>
        <r>
          <rPr>
            <sz val="8"/>
            <color indexed="81"/>
            <rFont val="Tahoma"/>
            <family val="2"/>
          </rPr>
          <t>Metodología utilizada para  definir las posibles causas que originan la No conformidad.
No aplica para la acción de mejora.
Nota: Pueden utilizarse cualquiera de estos dos métodos referenciados de análisis de causas, o cualquier otro, en este caso se debe anexar el o los análisis respectivos.</t>
        </r>
        <r>
          <rPr>
            <sz val="9"/>
            <color indexed="81"/>
            <rFont val="Tahoma"/>
            <family val="2"/>
          </rPr>
          <t xml:space="preserve">
</t>
        </r>
      </text>
    </comment>
    <comment ref="A16" authorId="0" shapeId="0" xr:uid="{00000000-0006-0000-1600-00000B000000}">
      <text>
        <r>
          <rPr>
            <sz val="8"/>
            <color indexed="81"/>
            <rFont val="Tahoma"/>
            <family val="2"/>
          </rPr>
          <t xml:space="preserve">Es el espacio disponible para 
escribir 5 ideas principales del por qué se  originó la situación.
</t>
        </r>
      </text>
    </comment>
    <comment ref="A26" authorId="0" shapeId="0" xr:uid="{00000000-0006-0000-1600-00000C000000}">
      <text>
        <r>
          <rPr>
            <sz val="8"/>
            <color indexed="81"/>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28" authorId="0" shapeId="0" xr:uid="{00000000-0006-0000-1600-00000D000000}">
      <text>
        <r>
          <rPr>
            <sz val="8"/>
            <color indexed="81"/>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r>
          <rPr>
            <sz val="9"/>
            <color indexed="81"/>
            <rFont val="Tahoma"/>
            <family val="2"/>
          </rPr>
          <t xml:space="preserve">
</t>
        </r>
      </text>
    </comment>
    <comment ref="I28" authorId="0" shapeId="0" xr:uid="{00000000-0006-0000-1600-00000E000000}">
      <text>
        <r>
          <rPr>
            <sz val="8"/>
            <color indexed="81"/>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37" authorId="0" shapeId="0" xr:uid="{00000000-0006-0000-1600-00000F000000}">
      <text>
        <r>
          <rPr>
            <sz val="8"/>
            <color indexed="81"/>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I37" authorId="0" shapeId="0" xr:uid="{00000000-0006-0000-1600-000010000000}">
      <text>
        <r>
          <rPr>
            <sz val="8"/>
            <color indexed="81"/>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42" authorId="0" shapeId="0" xr:uid="{00000000-0006-0000-1600-000011000000}">
      <text>
        <r>
          <rPr>
            <sz val="8"/>
            <color indexed="81"/>
            <rFont val="Tahoma"/>
            <family val="2"/>
          </rPr>
          <t>Luego de analizar el problema por cualquier método, defina las causas en un párrafo.</t>
        </r>
      </text>
    </comment>
    <comment ref="A49" authorId="0" shapeId="0" xr:uid="{00000000-0006-0000-1600-000012000000}">
      <text>
        <r>
          <rPr>
            <sz val="8"/>
            <color indexed="81"/>
            <rFont val="Tahoma"/>
            <family val="2"/>
          </rPr>
          <t>Actividades que subsanan la No conformidad presentada.</t>
        </r>
      </text>
    </comment>
    <comment ref="I49" authorId="0" shapeId="0" xr:uid="{00000000-0006-0000-1600-000013000000}">
      <text>
        <r>
          <rPr>
            <sz val="8"/>
            <color indexed="81"/>
            <rFont val="Tahoma"/>
            <family val="2"/>
          </rPr>
          <t>Metodología utilizada para corroborar la eficacia de las tareas propuestas en el plan de acción.</t>
        </r>
        <r>
          <rPr>
            <sz val="9"/>
            <color indexed="81"/>
            <rFont val="Tahoma"/>
            <family val="2"/>
          </rPr>
          <t xml:space="preserve">
</t>
        </r>
      </text>
    </comment>
    <comment ref="A51" authorId="0" shapeId="0" xr:uid="{00000000-0006-0000-1600-000014000000}">
      <text>
        <r>
          <rPr>
            <sz val="8"/>
            <color indexed="81"/>
            <rFont val="Tahoma"/>
            <family val="2"/>
          </rPr>
          <t>Describen todas las tareas necesarias que se van a realizar en el plan de acción y seguimiento para eliminar las causas detectadas.</t>
        </r>
        <r>
          <rPr>
            <sz val="9"/>
            <color indexed="81"/>
            <rFont val="Tahoma"/>
            <family val="2"/>
          </rPr>
          <t xml:space="preserve">
</t>
        </r>
      </text>
    </comment>
    <comment ref="G51" authorId="0" shapeId="0" xr:uid="{00000000-0006-0000-1600-000015000000}">
      <text>
        <r>
          <rPr>
            <sz val="8"/>
            <color indexed="81"/>
            <rFont val="Tahoma"/>
            <family val="2"/>
          </rPr>
          <t>Se escribe el nombre de cada responsable de la tarea a implantar.</t>
        </r>
        <r>
          <rPr>
            <sz val="9"/>
            <color indexed="81"/>
            <rFont val="Tahoma"/>
            <family val="2"/>
          </rPr>
          <t xml:space="preserve">
</t>
        </r>
      </text>
    </comment>
    <comment ref="I51" authorId="0" shapeId="0" xr:uid="{00000000-0006-0000-1600-000016000000}">
      <text>
        <r>
          <rPr>
            <sz val="8"/>
            <color indexed="81"/>
            <rFont val="Tahoma"/>
            <family val="2"/>
          </rPr>
          <t>Fecha estimada de la terminación de la tarea a realizar. dd/mm/aaaa</t>
        </r>
        <r>
          <rPr>
            <sz val="9"/>
            <color indexed="81"/>
            <rFont val="Tahoma"/>
            <family val="2"/>
          </rPr>
          <t xml:space="preserve">
</t>
        </r>
      </text>
    </comment>
    <comment ref="J51" authorId="0" shapeId="0" xr:uid="{00000000-0006-0000-1600-000017000000}">
      <text>
        <r>
          <rPr>
            <sz val="8"/>
            <color indexed="81"/>
            <rFont val="Tahoma"/>
            <family val="2"/>
          </rPr>
          <t>Fecha en la que el responsable de verificar el cumplimiento de las tareas hace la validación de su ejecución.</t>
        </r>
      </text>
    </comment>
    <comment ref="A55" authorId="0" shapeId="0" xr:uid="{00000000-0006-0000-1600-000018000000}">
      <text>
        <r>
          <rPr>
            <sz val="8"/>
            <color indexed="81"/>
            <rFont val="Tahoma"/>
            <family val="2"/>
          </rPr>
          <t>Una vez finiquitado el plan de acción se procede a verificar la eficacia de la acción tomada, es decir si las acciones fueron adecuadas para eliminar las causas que originaron la No conformidad y que permiten evitar su ocurrencia.
Para el caso de una acción de mejora se verifica que las acciones tomadas sean coherentes con la mejora que se desea implementar.
Marque con una “X” la casilla según corresponda referente a la eficacia de la  acción que tomó.</t>
        </r>
        <r>
          <rPr>
            <sz val="9"/>
            <color indexed="81"/>
            <rFont val="Tahoma"/>
            <family val="2"/>
          </rPr>
          <t xml:space="preserve">
</t>
        </r>
      </text>
    </comment>
    <comment ref="F55" authorId="0" shapeId="0" xr:uid="{00000000-0006-0000-1600-000019000000}">
      <text>
        <r>
          <rPr>
            <sz val="8"/>
            <color indexed="81"/>
            <rFont val="Tahoma"/>
            <family val="2"/>
          </rPr>
          <t>Una vez finiquitado el plan de acción se procede a verificar la eficacia de la acción tomada, es decir si las acciones fueron adecuadas para eliminar las causas que originaron la No conformidad y que permiten evitar su ocurrencia.
Para el caso de una acción de mejora se verifica que las acciones tomadas sean coherentes con la mejora que se desea implementar.
Marque con una “X” la casilla según corresponda referente a la eficacia de la  acción que tomó.</t>
        </r>
        <r>
          <rPr>
            <sz val="9"/>
            <color indexed="81"/>
            <rFont val="Tahoma"/>
            <family val="2"/>
          </rPr>
          <t xml:space="preserve">
</t>
        </r>
      </text>
    </comment>
    <comment ref="J55" authorId="0" shapeId="0" xr:uid="{00000000-0006-0000-1600-00001A000000}">
      <text>
        <r>
          <rPr>
            <sz val="8"/>
            <color indexed="81"/>
            <rFont val="Tahoma"/>
            <family val="2"/>
          </rPr>
          <t>Se coloca la fecha del día que el responsable de evidenciar el cierre  de las actividades hizo su función. dd/mm/aaaa
En el caso que el plan de acción no haya sido   eficaz, no es posible diligenciar la fecha de cierre de la acción correctiva.</t>
        </r>
        <r>
          <rPr>
            <b/>
            <sz val="9"/>
            <color indexed="81"/>
            <rFont val="Tahoma"/>
            <family val="2"/>
          </rPr>
          <t xml:space="preserve">
</t>
        </r>
        <r>
          <rPr>
            <sz val="9"/>
            <color indexed="81"/>
            <rFont val="Tahoma"/>
            <family val="2"/>
          </rPr>
          <t xml:space="preserve">
</t>
        </r>
      </text>
    </comment>
    <comment ref="A56" authorId="0" shapeId="0" xr:uid="{00000000-0006-0000-1600-00001B000000}">
      <text>
        <r>
          <rPr>
            <sz val="8"/>
            <color indexed="81"/>
            <rFont val="Tahoma"/>
            <family val="2"/>
          </rPr>
          <t>Se describe cual fue el impacto o la efectividad que causo la acción correctiva en Entidad o en los grupos de interés.</t>
        </r>
        <r>
          <rPr>
            <sz val="9"/>
            <color indexed="81"/>
            <rFont val="Tahoma"/>
            <family val="2"/>
          </rPr>
          <t xml:space="preserve">
</t>
        </r>
      </text>
    </comment>
    <comment ref="I59" authorId="0" shapeId="0" xr:uid="{00000000-0006-0000-1600-00001C000000}">
      <text>
        <r>
          <rPr>
            <sz val="8"/>
            <color indexed="81"/>
            <rFont val="Tahoma"/>
            <family val="2"/>
          </rPr>
          <t>Se escribe el nombre y firma  de la persona   encargada  de realizar el seguimiento de la acción correctiva. Generalmente esta persona es el Coordinador del Sistema de Gestión de Calidad o el auditor que detectó el hallazgo.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Administrador</author>
    <author>Lina Rocio Duran Sanchez</author>
  </authors>
  <commentList>
    <comment ref="A7" authorId="0" shapeId="0" xr:uid="{00000000-0006-0000-1700-000001000000}">
      <text>
        <r>
          <rPr>
            <sz val="8"/>
            <color indexed="81"/>
            <rFont val="Arial"/>
            <family val="2"/>
          </rPr>
          <t>Nombre del Macroproceso al cual pertenece la No conformidad Real o la acción de mejora.</t>
        </r>
        <r>
          <rPr>
            <sz val="9"/>
            <color indexed="81"/>
            <rFont val="Tahoma"/>
            <family val="2"/>
          </rPr>
          <t xml:space="preserve">
</t>
        </r>
      </text>
    </comment>
    <comment ref="F7" authorId="0" shapeId="0" xr:uid="{00000000-0006-0000-1700-000002000000}">
      <text>
        <r>
          <rPr>
            <sz val="8"/>
            <color indexed="81"/>
            <rFont val="Arial"/>
            <family val="2"/>
          </rPr>
          <t>Nombre del proceso involucrado en la No conformidad Real o la acción de mejora.</t>
        </r>
      </text>
    </comment>
    <comment ref="I7" authorId="1" shapeId="0" xr:uid="{00000000-0006-0000-1700-000003000000}">
      <text>
        <r>
          <rPr>
            <b/>
            <sz val="9"/>
            <color indexed="81"/>
            <rFont val="Tahoma"/>
            <family val="2"/>
          </rPr>
          <t>SELECCIONE CON UNA X EL TIPO DE ACCIÓN CORRECTIVA -P PREVENTIVA Y/O DE MEJORA</t>
        </r>
      </text>
    </comment>
    <comment ref="M7" authorId="0" shapeId="0" xr:uid="{00000000-0006-0000-1700-000004000000}">
      <text>
        <r>
          <rPr>
            <sz val="8"/>
            <color indexed="81"/>
            <rFont val="Tahoma"/>
            <family val="2"/>
          </rPr>
          <t xml:space="preserve">Corresponde al Numero consecutivo de la acción correctiva, o de mejora asociada al proceso (1, 2, 3, 4….) </t>
        </r>
      </text>
    </comment>
    <comment ref="A8" authorId="0" shapeId="0" xr:uid="{00000000-0006-0000-1700-000005000000}">
      <text>
        <r>
          <rPr>
            <sz val="8"/>
            <color indexed="81"/>
            <rFont val="Tahoma"/>
            <family val="2"/>
          </rPr>
          <t>Se coloca la fecha en que se diligencia el formato. dd/mm/aaaa.</t>
        </r>
      </text>
    </comment>
    <comment ref="F8" authorId="0" shapeId="0" xr:uid="{00000000-0006-0000-1700-000006000000}">
      <text>
        <r>
          <rPr>
            <sz val="8"/>
            <color indexed="81"/>
            <rFont val="Tahoma"/>
            <family val="2"/>
          </rPr>
          <t>Nombre del dueño o responsable del proceso o procedimiento, quien coordina las actividades de ejecución o seguimiento de la No conformidad Real o la acción de mejora.</t>
        </r>
      </text>
    </comment>
    <comment ref="A9" authorId="0" shapeId="0" xr:uid="{00000000-0006-0000-1700-000007000000}">
      <text>
        <r>
          <rPr>
            <sz val="8"/>
            <color indexed="81"/>
            <rFont val="Tahoma"/>
            <family val="2"/>
          </rPr>
          <t>Marque con una x la casilla que corresponda a la fuente por la cual detecto la no conformidad Reales o la acción de mejora que se desea implementar.</t>
        </r>
      </text>
    </comment>
    <comment ref="A11" authorId="0" shapeId="0" xr:uid="{00000000-0006-0000-1700-000008000000}">
      <text>
        <r>
          <rPr>
            <sz val="8"/>
            <color indexed="81"/>
            <rFont val="Tahoma"/>
            <family val="2"/>
          </rPr>
          <t>Escrito explicativo y descriptivo de la situación que se está presentando o la mejora que se desea implementar.</t>
        </r>
      </text>
    </comment>
    <comment ref="A13" authorId="0" shapeId="0" xr:uid="{00000000-0006-0000-1700-000009000000}">
      <text>
        <r>
          <rPr>
            <sz val="8"/>
            <color indexed="81"/>
            <rFont val="Tahoma"/>
            <family val="2"/>
          </rPr>
          <t>Escrito explicativo de la corrección inmediata de la situación encontrada, no aplica para la acción de mejora.</t>
        </r>
      </text>
    </comment>
    <comment ref="A15" authorId="0" shapeId="0" xr:uid="{00000000-0006-0000-1700-00000A000000}">
      <text>
        <r>
          <rPr>
            <sz val="8"/>
            <color indexed="81"/>
            <rFont val="Tahoma"/>
            <family val="2"/>
          </rPr>
          <t>Metodología utilizada para  definir las posibles causas que originan la No conformidad.
No aplica para la acción de mejora.
Nota: Pueden utilizarse cualquiera de estos dos métodos referenciados de análisis de causas, o cualquier otro, en este caso se debe anexar el o los análisis respectivos.</t>
        </r>
        <r>
          <rPr>
            <sz val="9"/>
            <color indexed="81"/>
            <rFont val="Tahoma"/>
            <family val="2"/>
          </rPr>
          <t xml:space="preserve">
</t>
        </r>
      </text>
    </comment>
    <comment ref="A16" authorId="0" shapeId="0" xr:uid="{00000000-0006-0000-1700-00000B000000}">
      <text>
        <r>
          <rPr>
            <sz val="8"/>
            <color indexed="81"/>
            <rFont val="Tahoma"/>
            <family val="2"/>
          </rPr>
          <t xml:space="preserve">Es el espacio disponible para 
escribir 5 ideas principales del por qué se  originó la situación.
</t>
        </r>
      </text>
    </comment>
    <comment ref="A26" authorId="0" shapeId="0" xr:uid="{00000000-0006-0000-1700-00000C000000}">
      <text>
        <r>
          <rPr>
            <sz val="8"/>
            <color indexed="81"/>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28" authorId="0" shapeId="0" xr:uid="{00000000-0006-0000-1700-00000D000000}">
      <text>
        <r>
          <rPr>
            <sz val="8"/>
            <color indexed="81"/>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r>
          <rPr>
            <sz val="9"/>
            <color indexed="81"/>
            <rFont val="Tahoma"/>
            <family val="2"/>
          </rPr>
          <t xml:space="preserve">
</t>
        </r>
      </text>
    </comment>
    <comment ref="I28" authorId="0" shapeId="0" xr:uid="{00000000-0006-0000-1700-00000E000000}">
      <text>
        <r>
          <rPr>
            <sz val="8"/>
            <color indexed="81"/>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37" authorId="0" shapeId="0" xr:uid="{00000000-0006-0000-1700-00000F000000}">
      <text>
        <r>
          <rPr>
            <sz val="8"/>
            <color indexed="81"/>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I37" authorId="0" shapeId="0" xr:uid="{00000000-0006-0000-1700-000010000000}">
      <text>
        <r>
          <rPr>
            <sz val="8"/>
            <color indexed="81"/>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42" authorId="0" shapeId="0" xr:uid="{00000000-0006-0000-1700-000011000000}">
      <text>
        <r>
          <rPr>
            <sz val="8"/>
            <color indexed="81"/>
            <rFont val="Tahoma"/>
            <family val="2"/>
          </rPr>
          <t>Luego de analizar el problema por cualquier método, defina las causas en un párrafo.</t>
        </r>
      </text>
    </comment>
    <comment ref="A49" authorId="0" shapeId="0" xr:uid="{00000000-0006-0000-1700-000012000000}">
      <text>
        <r>
          <rPr>
            <sz val="8"/>
            <color indexed="81"/>
            <rFont val="Tahoma"/>
            <family val="2"/>
          </rPr>
          <t>Actividades que subsanan la No conformidad presentada.</t>
        </r>
      </text>
    </comment>
    <comment ref="I49" authorId="0" shapeId="0" xr:uid="{00000000-0006-0000-1700-000013000000}">
      <text>
        <r>
          <rPr>
            <sz val="8"/>
            <color indexed="81"/>
            <rFont val="Tahoma"/>
            <family val="2"/>
          </rPr>
          <t>Metodología utilizada para corroborar la eficacia de las tareas propuestas en el plan de acción.</t>
        </r>
        <r>
          <rPr>
            <sz val="9"/>
            <color indexed="81"/>
            <rFont val="Tahoma"/>
            <family val="2"/>
          </rPr>
          <t xml:space="preserve">
</t>
        </r>
      </text>
    </comment>
    <comment ref="A51" authorId="0" shapeId="0" xr:uid="{00000000-0006-0000-1700-000014000000}">
      <text>
        <r>
          <rPr>
            <sz val="8"/>
            <color indexed="81"/>
            <rFont val="Tahoma"/>
            <family val="2"/>
          </rPr>
          <t>Describen todas las tareas necesarias que se van a realizar en el plan de acción y seguimiento para eliminar las causas detectadas.</t>
        </r>
        <r>
          <rPr>
            <sz val="9"/>
            <color indexed="81"/>
            <rFont val="Tahoma"/>
            <family val="2"/>
          </rPr>
          <t xml:space="preserve">
</t>
        </r>
      </text>
    </comment>
    <comment ref="G51" authorId="0" shapeId="0" xr:uid="{00000000-0006-0000-1700-000015000000}">
      <text>
        <r>
          <rPr>
            <sz val="8"/>
            <color indexed="81"/>
            <rFont val="Tahoma"/>
            <family val="2"/>
          </rPr>
          <t>Se escribe el nombre de cada responsable de la tarea a implantar.</t>
        </r>
        <r>
          <rPr>
            <sz val="9"/>
            <color indexed="81"/>
            <rFont val="Tahoma"/>
            <family val="2"/>
          </rPr>
          <t xml:space="preserve">
</t>
        </r>
      </text>
    </comment>
    <comment ref="I51" authorId="0" shapeId="0" xr:uid="{00000000-0006-0000-1700-000016000000}">
      <text>
        <r>
          <rPr>
            <sz val="8"/>
            <color indexed="81"/>
            <rFont val="Tahoma"/>
            <family val="2"/>
          </rPr>
          <t>Fecha estimada de la terminación de la tarea a realizar. dd/mm/aaaa</t>
        </r>
        <r>
          <rPr>
            <sz val="9"/>
            <color indexed="81"/>
            <rFont val="Tahoma"/>
            <family val="2"/>
          </rPr>
          <t xml:space="preserve">
</t>
        </r>
      </text>
    </comment>
    <comment ref="J51" authorId="0" shapeId="0" xr:uid="{00000000-0006-0000-1700-000017000000}">
      <text>
        <r>
          <rPr>
            <sz val="8"/>
            <color indexed="81"/>
            <rFont val="Tahoma"/>
            <family val="2"/>
          </rPr>
          <t>Fecha en la que el responsable de verificar el cumplimiento de las tareas hace la validación de su ejecución.</t>
        </r>
      </text>
    </comment>
    <comment ref="A56" authorId="0" shapeId="0" xr:uid="{00000000-0006-0000-1700-000018000000}">
      <text>
        <r>
          <rPr>
            <sz val="8"/>
            <color indexed="81"/>
            <rFont val="Tahoma"/>
            <family val="2"/>
          </rPr>
          <t>Una vez finiquitado el plan de acción se procede a verificar la eficacia de la acción tomada, es decir si las acciones fueron adecuadas para eliminar las causas que originaron la No conformidad y que permiten evitar su ocurrencia.
Para el caso de una acción de mejora se verifica que las acciones tomadas sean coherentes con la mejora que se desea implementar.
Marque con una “X” la casilla según corresponda referente a la eficacia de la  acción que tomó.</t>
        </r>
        <r>
          <rPr>
            <sz val="9"/>
            <color indexed="81"/>
            <rFont val="Tahoma"/>
            <family val="2"/>
          </rPr>
          <t xml:space="preserve">
</t>
        </r>
      </text>
    </comment>
    <comment ref="F56" authorId="0" shapeId="0" xr:uid="{00000000-0006-0000-1700-000019000000}">
      <text>
        <r>
          <rPr>
            <sz val="8"/>
            <color indexed="81"/>
            <rFont val="Tahoma"/>
            <family val="2"/>
          </rPr>
          <t>Una vez finiquitado el plan de acción se procede a verificar la eficacia de la acción tomada, es decir si las acciones fueron adecuadas para eliminar las causas que originaron la No conformidad y que permiten evitar su ocurrencia.
Para el caso de una acción de mejora se verifica que las acciones tomadas sean coherentes con la mejora que se desea implementar.
Marque con una “X” la casilla según corresponda referente a la eficacia de la  acción que tomó.</t>
        </r>
        <r>
          <rPr>
            <sz val="9"/>
            <color indexed="81"/>
            <rFont val="Tahoma"/>
            <family val="2"/>
          </rPr>
          <t xml:space="preserve">
</t>
        </r>
      </text>
    </comment>
    <comment ref="J56" authorId="0" shapeId="0" xr:uid="{00000000-0006-0000-1700-00001A000000}">
      <text>
        <r>
          <rPr>
            <sz val="8"/>
            <color indexed="81"/>
            <rFont val="Tahoma"/>
            <family val="2"/>
          </rPr>
          <t>Se coloca la fecha del día que el responsable de evidenciar el cierre  de las actividades hizo su función. dd/mm/aaaa
En el caso que el plan de acción no haya sido   eficaz, no es posible diligenciar la fecha de cierre de la acción correctiva.</t>
        </r>
        <r>
          <rPr>
            <b/>
            <sz val="9"/>
            <color indexed="81"/>
            <rFont val="Tahoma"/>
            <family val="2"/>
          </rPr>
          <t xml:space="preserve">
</t>
        </r>
        <r>
          <rPr>
            <sz val="9"/>
            <color indexed="81"/>
            <rFont val="Tahoma"/>
            <family val="2"/>
          </rPr>
          <t xml:space="preserve">
</t>
        </r>
      </text>
    </comment>
    <comment ref="A57" authorId="0" shapeId="0" xr:uid="{00000000-0006-0000-1700-00001B000000}">
      <text>
        <r>
          <rPr>
            <sz val="8"/>
            <color indexed="81"/>
            <rFont val="Tahoma"/>
            <family val="2"/>
          </rPr>
          <t>Se describe cual fue el impacto o la efectividad que causo la acción correctiva en Entidad o en los grupos de interés.</t>
        </r>
        <r>
          <rPr>
            <sz val="9"/>
            <color indexed="81"/>
            <rFont val="Tahoma"/>
            <family val="2"/>
          </rPr>
          <t xml:space="preserve">
</t>
        </r>
      </text>
    </comment>
    <comment ref="I60" authorId="0" shapeId="0" xr:uid="{00000000-0006-0000-1700-00001C000000}">
      <text>
        <r>
          <rPr>
            <sz val="8"/>
            <color indexed="81"/>
            <rFont val="Tahoma"/>
            <family val="2"/>
          </rPr>
          <t>Se escribe el nombre y firma  de la persona   encargada  de realizar el seguimiento de la acción correctiva. Generalmente esta persona es el Coordinador del Sistema de Gestión de Calidad o el auditor que detectó el hallazgo.</t>
        </r>
      </text>
    </comment>
  </commentList>
</comments>
</file>

<file path=xl/sharedStrings.xml><?xml version="1.0" encoding="utf-8"?>
<sst xmlns="http://schemas.openxmlformats.org/spreadsheetml/2006/main" count="3380" uniqueCount="1182">
  <si>
    <t>Hoja de Vida de Indicadores</t>
  </si>
  <si>
    <t>CARACTERIZACIÓN PROCESO</t>
  </si>
  <si>
    <t>CARACTERIZACIÓN INDICADOR</t>
  </si>
  <si>
    <t>MONITOREO INDICADOR</t>
  </si>
  <si>
    <t>Estructura
Dec No. 2723</t>
  </si>
  <si>
    <t xml:space="preserve">Grupo de Trabajo
Res No. 0573 </t>
  </si>
  <si>
    <t>Macroproceso
Res No. 12258</t>
  </si>
  <si>
    <t>Código Macroproceso</t>
  </si>
  <si>
    <t>Proceso
Res No. 12258</t>
  </si>
  <si>
    <t>Código 
Proceso</t>
  </si>
  <si>
    <t>Código
Indicador</t>
  </si>
  <si>
    <t>Nombre 
Indicador</t>
  </si>
  <si>
    <t>Objetivo 
Indicador</t>
  </si>
  <si>
    <t>Unidad Medida</t>
  </si>
  <si>
    <t>Clasificación</t>
  </si>
  <si>
    <t>Formula</t>
  </si>
  <si>
    <t xml:space="preserve">Origen Numerador </t>
  </si>
  <si>
    <t xml:space="preserve">Origen Denominador  </t>
  </si>
  <si>
    <t>Frecuencia (Recolección De Datos)</t>
  </si>
  <si>
    <t>Frecuencia 
(Reporte De Resultados)</t>
  </si>
  <si>
    <t>Técnica Estadistica</t>
  </si>
  <si>
    <t>Meta
Aceptable</t>
  </si>
  <si>
    <t>Tendencia</t>
  </si>
  <si>
    <t>Fecha de aprobación</t>
  </si>
  <si>
    <t>Fecha Eliminación</t>
  </si>
  <si>
    <t>Estado</t>
  </si>
  <si>
    <t>Oficina Asesora Jurídica</t>
  </si>
  <si>
    <t>Gestion Jurídica Registral y
Gestion Jurídica Notarial</t>
  </si>
  <si>
    <t>Gestion Jurídica</t>
  </si>
  <si>
    <t>GJ</t>
  </si>
  <si>
    <t>Apoyo Jurídico Notarial y Registral</t>
  </si>
  <si>
    <t>AJNR</t>
  </si>
  <si>
    <t>GJ-AJNR-INDI-1</t>
  </si>
  <si>
    <t>Porcentaje De Conceptos Jurídicos Emitidos Dentro De Los Términos De Ley</t>
  </si>
  <si>
    <r>
      <t>Realizar seguimiento a la oportunidad de respuesta a las consultas y derechos de petición presentados en el marco de la</t>
    </r>
    <r>
      <rPr>
        <b/>
        <sz val="8"/>
        <color indexed="8"/>
        <rFont val="Calibri"/>
        <family val="2"/>
      </rPr>
      <t xml:space="preserve"> prestación de los servicios públicos registrales y notariales</t>
    </r>
  </si>
  <si>
    <t>%</t>
  </si>
  <si>
    <t>Eficacia</t>
  </si>
  <si>
    <t xml:space="preserve">Conceptos jurídicos contestados dentro de los términos de ley/
Conceptos jurídicos solicitados </t>
  </si>
  <si>
    <t>BD y formato de reparto</t>
  </si>
  <si>
    <t>Mensual</t>
  </si>
  <si>
    <t>Trimestral</t>
  </si>
  <si>
    <t>Lineal</t>
  </si>
  <si>
    <t>Ascendente</t>
  </si>
  <si>
    <t>Concursos Notariales y Registrales</t>
  </si>
  <si>
    <t>Concurso Notarial y Registral</t>
  </si>
  <si>
    <t>CNR</t>
  </si>
  <si>
    <t>GJ-CNR-INDI-1</t>
  </si>
  <si>
    <r>
      <t xml:space="preserve">Realizar seguimiento a la oportunidad de respuesta a las consultas y derechos de petición presentados en el marco del </t>
    </r>
    <r>
      <rPr>
        <b/>
        <i/>
        <sz val="8"/>
        <color indexed="8"/>
        <rFont val="Calibri"/>
        <family val="2"/>
      </rPr>
      <t>desarrollo del concurso notarial  y registral</t>
    </r>
  </si>
  <si>
    <t>GJ-CNR-INDI-2</t>
  </si>
  <si>
    <t>Porcentaje De Acciones Judiciales Contra Eventuales Decisiones Del Consejo Superior De La Carrera Notarial Y Registral Contestadas Dentro De Los Términos De Ley</t>
  </si>
  <si>
    <r>
      <t xml:space="preserve">Realizar seguimiento a la oportunidad de respuesta a </t>
    </r>
    <r>
      <rPr>
        <b/>
        <sz val="8"/>
        <color indexed="8"/>
        <rFont val="Calibri"/>
        <family val="2"/>
      </rPr>
      <t>los recursos y las acciones judiciales  presentadas a corte 2015 relacionadas con el Consejo Superior de la Carrera Notarial y Registral</t>
    </r>
  </si>
  <si>
    <t xml:space="preserve">Recursos y-o acciones judiciales contestados dentro de los términos de ley/ 
Recursos y-o acciones solicitados. </t>
  </si>
  <si>
    <t>Jurisdicción Coactiva</t>
  </si>
  <si>
    <t>Cobro Coactivo</t>
  </si>
  <si>
    <t>CC</t>
  </si>
  <si>
    <t>GJ-CC-INDI-1</t>
  </si>
  <si>
    <t>Porcentaje De Procesos De Cobro Coactivo Gestionados</t>
  </si>
  <si>
    <t>Realizar seguimiento a la gestión del cobro coactivo</t>
  </si>
  <si>
    <t>Eficiencia</t>
  </si>
  <si>
    <t>Procesos Gestionados/
Procesos radicados</t>
  </si>
  <si>
    <t>GJ-CC-INDI-2</t>
  </si>
  <si>
    <t>Porcentaje De Expedición Mandamientos De Pago Realizados</t>
  </si>
  <si>
    <r>
      <t xml:space="preserve">Realizar seguimiento a la eficiencia del proceso de cobro coactivo - </t>
    </r>
    <r>
      <rPr>
        <b/>
        <sz val="8"/>
        <color indexed="8"/>
        <rFont val="Calibri"/>
        <family val="2"/>
      </rPr>
      <t>emisión de mandamientos de pago y la notificación.</t>
    </r>
  </si>
  <si>
    <t>Mandamientos de pago dictados y notificados/
Procesos radicado.</t>
  </si>
  <si>
    <t>GJ-CC-INDI-3</t>
  </si>
  <si>
    <t>Porcentaje De Cartera Recuperada</t>
  </si>
  <si>
    <t>Realizar seguimiento a las acciones conducentes para  la recuperación de la cartera morosa.</t>
  </si>
  <si>
    <t>Valor recaudado/
Valor programado a recaudar</t>
  </si>
  <si>
    <t>Administración Judicial</t>
  </si>
  <si>
    <t>Representación Judicial</t>
  </si>
  <si>
    <t>RJ</t>
  </si>
  <si>
    <t>GJ-RJ-INDI-1</t>
  </si>
  <si>
    <t>Porcentaje De Acciones Judiciales Favorables</t>
  </si>
  <si>
    <r>
      <t>Realizar seguimiento a la eficiencia del proceso de representación -</t>
    </r>
    <r>
      <rPr>
        <b/>
        <sz val="8"/>
        <color indexed="8"/>
        <rFont val="Calibri"/>
        <family val="2"/>
      </rPr>
      <t xml:space="preserve"> fallos favorables para la Entidad.</t>
    </r>
  </si>
  <si>
    <t>Fallos favorables para la Entidad por Acciones Judiciales/
Fallos  Judiciales</t>
  </si>
  <si>
    <t>BD sentencias  favorables</t>
  </si>
  <si>
    <t>GJ-RJ-INDI-2</t>
  </si>
  <si>
    <t>Porcentaje De Conciliaciones Atendidas</t>
  </si>
  <si>
    <t>Realizar seguimiento a las conciliaciones de la Entidad, dando cumplimiento a los términos establecidos.</t>
  </si>
  <si>
    <t>Conciliaciones atendidas dentro de los términos de ley/
Conciliaciones Radicadas</t>
  </si>
  <si>
    <t>Oficina Asesora de Planeación</t>
  </si>
  <si>
    <t>Estadistica Registral y Notarial</t>
  </si>
  <si>
    <t>Direccionamiento Estratégico</t>
  </si>
  <si>
    <t>DE</t>
  </si>
  <si>
    <t>Gestion de la Información Estadistica Institucional</t>
  </si>
  <si>
    <t>GIEI</t>
  </si>
  <si>
    <t>DE-GIEI-INDI-1</t>
  </si>
  <si>
    <t>Porcentaje De Cumplimiento De La Circular 229 por parte de las Notarias</t>
  </si>
  <si>
    <r>
      <t xml:space="preserve">Realizar seguimiento al cumplimiento de la circular 229  </t>
    </r>
    <r>
      <rPr>
        <b/>
        <sz val="8"/>
        <color indexed="8"/>
        <rFont val="Calibri"/>
        <family val="2"/>
      </rPr>
      <t>reporte de datos estadísticos por parte de las notarias</t>
    </r>
  </si>
  <si>
    <t>Reporte recibidos dentro de los términos reglamentarios /Total de Notarias</t>
  </si>
  <si>
    <t>BD Estadística</t>
  </si>
  <si>
    <t>DE-GIEI-INDI-2</t>
  </si>
  <si>
    <t>Porcentaje De Cumplimiento De La Circular 031 por parte de las ORIP´s</t>
  </si>
  <si>
    <r>
      <t xml:space="preserve">Realizar seguimiento al cumplimiento de la circular 031  </t>
    </r>
    <r>
      <rPr>
        <b/>
        <sz val="8"/>
        <color indexed="8"/>
        <rFont val="Calibri"/>
        <family val="2"/>
      </rPr>
      <t>reporte de datos estadísticos por parte de las ORIP´s</t>
    </r>
  </si>
  <si>
    <t>Reporte recibidos dentro de los términos reglamentarios/Total de ORIP´s</t>
  </si>
  <si>
    <t>DE-GIEI-INDI-3</t>
  </si>
  <si>
    <t>Porcentaje De Respuestas Tramitadas Dentro De Los Términos De Ley A Solicitudes De Información Estadistica</t>
  </si>
  <si>
    <r>
      <t xml:space="preserve">Realizar seguimiento a la oportunidad de respuesta a las  </t>
    </r>
    <r>
      <rPr>
        <b/>
        <sz val="8"/>
        <color indexed="8"/>
        <rFont val="Calibri"/>
        <family val="2"/>
      </rPr>
      <t>solicitudes de información estadística</t>
    </r>
  </si>
  <si>
    <t>Solicitudes de información tramitadas dentro de los términos de ley/
Solicitudes de información recibidas</t>
  </si>
  <si>
    <t>BD solitud de información estadística</t>
  </si>
  <si>
    <t>MECI y Calidad</t>
  </si>
  <si>
    <t>Sistema de Operación y Gestion Institucional</t>
  </si>
  <si>
    <t>SOGI</t>
  </si>
  <si>
    <t>DE-SOGI-INDI-1</t>
  </si>
  <si>
    <t>Promedio De Procesos Con Acciones Para La Mejora Implementadas Y Evaluadas</t>
  </si>
  <si>
    <t xml:space="preserve">Realizar seguimiento al grado de madurez del SOGI </t>
  </si>
  <si>
    <t>Acciones
/Procesos</t>
  </si>
  <si>
    <t>Acciones de mejora implementadas/
Total de Procesos SNR</t>
  </si>
  <si>
    <t>BD SOGI
(Auditorias, informes de Gestion , auto control</t>
  </si>
  <si>
    <t>2 
AM/Procesos</t>
  </si>
  <si>
    <t>Formulación y Evaluación de Proyectos</t>
  </si>
  <si>
    <t>Formulación y Evaluación de Proyectos de Inversión</t>
  </si>
  <si>
    <t>FEPI</t>
  </si>
  <si>
    <t>DE-FEPI-INDI-1</t>
  </si>
  <si>
    <t>Porcentaje de cumplimiento de los Acuerdos de Desempeño para la ejecución presupuestal de los proyectos de inversión</t>
  </si>
  <si>
    <t>Realizar seguimiento al cumplimento de los acuerdos desempeños establecidos con el ministerio de justicia y del derechos respecto de la ejecución presupuestal de inversión</t>
  </si>
  <si>
    <t>Porcentaje de Cumplimiento de los Acuerdos de Desempeño(Valor Comprometido)/
Porcentaje planeado de los Acuerdos de Desempeño</t>
  </si>
  <si>
    <t>SIIF Nación 2</t>
  </si>
  <si>
    <t>NA</t>
  </si>
  <si>
    <t>Políticas y Planeación Institucional</t>
  </si>
  <si>
    <t>PPI</t>
  </si>
  <si>
    <t>DE-PPI-INDI-1</t>
  </si>
  <si>
    <t>Porcentaje de cumplimiento de los Planes Anuales de Gestion</t>
  </si>
  <si>
    <t>Realizar seguimiento oportuno al grado de cumplimiento de los Planes anuales de Gestion</t>
  </si>
  <si>
    <t>Porcentaje de Cumplimiento del Plan Anual de Accion/
Porcentaje planeado del Plan Anual de Accion</t>
  </si>
  <si>
    <t>Strategos</t>
  </si>
  <si>
    <t>Dirección de Talento Humano</t>
  </si>
  <si>
    <t>Formación y Capacitación</t>
  </si>
  <si>
    <t>Gestion Talento Humano</t>
  </si>
  <si>
    <t>GTH</t>
  </si>
  <si>
    <t>Gestion de Permanencia del Talento Humano</t>
  </si>
  <si>
    <t>GPTH</t>
  </si>
  <si>
    <t>GH-GPTH-INDI- 1</t>
  </si>
  <si>
    <t>Porcentaje De Funcionarios Capacitados</t>
  </si>
  <si>
    <t>Realizar seguimiento a la cobertura del procedimiento de capacitación</t>
  </si>
  <si>
    <t>Funcionarios capacitados/
Funcionarios a capacitar de acuerdo al PIC</t>
  </si>
  <si>
    <t>BD Asistencia a Capacitación</t>
  </si>
  <si>
    <t>Listado Planta Global</t>
  </si>
  <si>
    <t>Desarrollo Humano</t>
  </si>
  <si>
    <t>GH-GPTH-INDI-2</t>
  </si>
  <si>
    <t>Porcentaje De Funcionarios Impactados Con El Plan De Bienestar Estímulos E Incentivos</t>
  </si>
  <si>
    <t>Realizar seguimiento a la cobertura del procedimiento de Bienestar</t>
  </si>
  <si>
    <t>Efectividad</t>
  </si>
  <si>
    <t>Funcionarios impactados/
Funcionarios SNR</t>
  </si>
  <si>
    <t>BD Impacto Desarrollo Humano</t>
  </si>
  <si>
    <t>GH-GPTH-INDI-3</t>
  </si>
  <si>
    <t>Índice De Severidad</t>
  </si>
  <si>
    <t>Realizar seguimiento a las horas hombres no laboradas por accidentes laborales</t>
  </si>
  <si>
    <t>Promedio</t>
  </si>
  <si>
    <t>Número de días perdidos * 1000000 / 
(Total horas – hombre de trabajo)</t>
  </si>
  <si>
    <t>BD Colmena Gestion</t>
  </si>
  <si>
    <t>BD Nomina</t>
  </si>
  <si>
    <t>Descendente</t>
  </si>
  <si>
    <t>GH-GPTH-INDI-4</t>
  </si>
  <si>
    <t>Índice Ausentismo</t>
  </si>
  <si>
    <t>Realizar seguimiento a las ausencias de personal en el su puesto de trabajo</t>
  </si>
  <si>
    <t>Horas Hombres Perdidas/
Horas trabajadas</t>
  </si>
  <si>
    <t>Evaluación de Competencias Laborales</t>
  </si>
  <si>
    <t>GH-GPTH-INDI-5</t>
  </si>
  <si>
    <t xml:space="preserve">Porcentaje De Funcionarios Evaluados Por Competencias </t>
  </si>
  <si>
    <t>seguimiento de la programación de las pruebas programadas</t>
  </si>
  <si>
    <t>Funcionarios evaluados / 
Planta Global</t>
  </si>
  <si>
    <t>base de datos
Informe cuantitativo ORIP</t>
  </si>
  <si>
    <t xml:space="preserve">Líneas </t>
  </si>
  <si>
    <t>GH-GPTH-INDI-6</t>
  </si>
  <si>
    <t xml:space="preserve">Porcentaje de cargos provistos </t>
  </si>
  <si>
    <t>Realizar seguimiento a la planta provista para las necesidades de los procesos en personal</t>
  </si>
  <si>
    <t>Cargos provistos/
Planta de personal</t>
  </si>
  <si>
    <t>Aplicativo Nomina</t>
  </si>
  <si>
    <t>Decretos de Planta</t>
  </si>
  <si>
    <t>Ascender</t>
  </si>
  <si>
    <t>GH-GPTH-INDI-7</t>
  </si>
  <si>
    <t>Porcentaje De Respuestas Tramitadas Dentro De Los Términos A Quejas Por Presunta Conductas De Acoso Laboral</t>
  </si>
  <si>
    <t>Dirección Técnica de Registro</t>
  </si>
  <si>
    <t>Interrelación Catastro Registro</t>
  </si>
  <si>
    <t>GTR</t>
  </si>
  <si>
    <t>Actualización de la Información de las Bases de Datos de Registro</t>
  </si>
  <si>
    <t>AIBDR</t>
  </si>
  <si>
    <t>GTR-AIBDR-INDI-</t>
  </si>
  <si>
    <t>Porcentaje De Municipios Interrelacionados Registro-Catastro</t>
  </si>
  <si>
    <r>
      <t xml:space="preserve">Realizar seguimiento al cumplimiento </t>
    </r>
    <r>
      <rPr>
        <b/>
        <i/>
        <sz val="8"/>
        <color indexed="8"/>
        <rFont val="Calibri"/>
        <family val="2"/>
      </rPr>
      <t>del plan de intercambio digital de transacciones entre el registro y el catastro</t>
    </r>
  </si>
  <si>
    <t>Municipios interrelacionados Registro-Catastro/
Municipios planeados a Interrelacionar</t>
  </si>
  <si>
    <t>Informe mensual Proyecto Interrelación</t>
  </si>
  <si>
    <t>Proyecto Castro Registro</t>
  </si>
  <si>
    <t>Optimizar los servicios en las ORIP´s</t>
  </si>
  <si>
    <t>OSORIPS</t>
  </si>
  <si>
    <t>GTR-OSORIPS-INDI-</t>
  </si>
  <si>
    <t>Porcentaje De Incidentes Orientación Funcional A La Operatividad Del Aplicativo SIR</t>
  </si>
  <si>
    <t>Brindar apoyo funcional a las Oficinas de Registro, que implementan el SIR.</t>
  </si>
  <si>
    <t xml:space="preserve">Incidentes cerrados / 
Incidentes reportados a la SNR del aplicativo SIR </t>
  </si>
  <si>
    <t>Herramienta CA y/o informe de gestión mensual</t>
  </si>
  <si>
    <t>Seguimiento Funcional A La Administración, Soporte Y Mantenimiento Del Aplicativo Sir</t>
  </si>
  <si>
    <t xml:space="preserve">Mejorar el desarrollo de las funcionalidades del Aplicativo SIR </t>
  </si>
  <si>
    <t>Numero de desarrollo de requerimientos disponibles para pruebas /  Numero de desarrollos probados</t>
  </si>
  <si>
    <t xml:space="preserve">Mesa de ayuda funcional SIR y </t>
  </si>
  <si>
    <t>Pruebas funcionales de desarrollo (Actas de despliegues)</t>
  </si>
  <si>
    <t>Ventanilla Unica de Registro</t>
  </si>
  <si>
    <t>Seguimiento al Servicio VUR</t>
  </si>
  <si>
    <t>SSVUR</t>
  </si>
  <si>
    <t>GTR-SSVUR-INDI-</t>
  </si>
  <si>
    <t xml:space="preserve">Porcentaje De Notarias Usuarias De Los Servicios VUR "Consulta Jurídica Y Repositorio De Poderes" </t>
  </si>
  <si>
    <t>Realizar seguimiento al uso del portal VUR por parte de las notarias</t>
  </si>
  <si>
    <t>Notarias usuarias de los servicios VUR/ 
Notarias activas</t>
  </si>
  <si>
    <t>BD
VUR y Repositorio de Poderes</t>
  </si>
  <si>
    <t>Dirección Administrativa Notarial</t>
  </si>
  <si>
    <t>Subdirección de apoyo Jurídico Registral</t>
  </si>
  <si>
    <t>Gestion Jurídica para la Segunda Instancia Registral</t>
  </si>
  <si>
    <t>Gestion Técnica Registral</t>
  </si>
  <si>
    <t>SIR</t>
  </si>
  <si>
    <t>GTR-SIR-INDI-</t>
  </si>
  <si>
    <t>Porcentaje De Expedientes De Segunda Instancia Tramitados De Vigencias Anteriores Al 2015</t>
  </si>
  <si>
    <t>Realizar seguimiento al tramite del 60% de los expedientes de la vigencias anteriores al 2015 (275 expedientes)</t>
  </si>
  <si>
    <t>Expedientes tramitados de vigencias anteriores a 2015/
El 60% del total de expedientes pendientes de tramitar de vigencias anteriores a 2015</t>
  </si>
  <si>
    <t>BD Expedientes Segunda Instancia Registral</t>
  </si>
  <si>
    <t>Porcentaje De Expedientes Tramitados
Vigencia 2015</t>
  </si>
  <si>
    <t>Realizar seguimiento al tramitar del 25% de los expedientes de la vigencia 2015 (635 expedientes estimados a radicar en la vigencia)</t>
  </si>
  <si>
    <t>Expedientes tramitados en el segundo semestre de 2015/
el 25% de No. de expedientes proyectados a resolver de vigencia 2015 menos expedientes resueltos primer semestre 2015</t>
  </si>
  <si>
    <t>Secretaria General</t>
  </si>
  <si>
    <t>Divulgación</t>
  </si>
  <si>
    <t>Divulgación Estratégica</t>
  </si>
  <si>
    <t>GDE</t>
  </si>
  <si>
    <t>GD</t>
  </si>
  <si>
    <t>GDE-GD-INDI-1</t>
  </si>
  <si>
    <t xml:space="preserve">Índice de Percepción de la Imagen Corporativa De La Entidad </t>
  </si>
  <si>
    <t>Conocer la percepción del usuario sobre la Imagen Institucional de la Superintendencia de Notaria y Registro a través de la pagina Web</t>
  </si>
  <si>
    <t xml:space="preserve">% </t>
  </si>
  <si>
    <t>Opinión Positiva sobre la Imagen Institucional/
Total de Opiniones</t>
  </si>
  <si>
    <t>Encuesta Web</t>
  </si>
  <si>
    <t>Oficina de Control Interno</t>
  </si>
  <si>
    <t>Control Interno de Gestion</t>
  </si>
  <si>
    <t>CIG</t>
  </si>
  <si>
    <t>CIG-CIG-INDI-1</t>
  </si>
  <si>
    <t>Porcentaje De Cumplimiento Del Programa De Auditorias Internas</t>
  </si>
  <si>
    <t>Medir los Resultados de la Gestión en cuanto a la cobertura de las  Auditorias Internas en la entidad</t>
  </si>
  <si>
    <t>Informes auditorías realizadas y seguimiento/
Auditorías Programadas</t>
  </si>
  <si>
    <t>Sistema Gestion Documental</t>
  </si>
  <si>
    <t>Cronograma programa de auditorias</t>
  </si>
  <si>
    <t>CIG-CIG-INDI-2</t>
  </si>
  <si>
    <t>Porcentaje De Hallazgos Con Acción Propuesta Cumplida</t>
  </si>
  <si>
    <t>Evaluar el sistema de Operación y gestión Institucional</t>
  </si>
  <si>
    <t>Acciones correctivas efectivas /
Acciones correctivas suscritas</t>
  </si>
  <si>
    <t>BD
Acciones Correctivas</t>
  </si>
  <si>
    <t>BD 
Acciones Correctivas</t>
  </si>
  <si>
    <t>Oficina de control Disciplinario Interno</t>
  </si>
  <si>
    <t>Control Interno Disciplinario</t>
  </si>
  <si>
    <t>GDI</t>
  </si>
  <si>
    <t>GDI-GDI-INDI-</t>
  </si>
  <si>
    <t>Porcentaje De Actuaciones Disciplinarias Impulsadas.</t>
  </si>
  <si>
    <t>Realizar seguimiento al impulso dado a los procesos disciplinarios Notarios.</t>
  </si>
  <si>
    <t>Procesos Disciplinarios Impulsados/
Procesos Disciplinarios Activos</t>
  </si>
  <si>
    <t>BD de expedientes Activos</t>
  </si>
  <si>
    <t>Porcentaje De Expedientes Disciplinarios Confirmados En Segunda Instancia</t>
  </si>
  <si>
    <t>Medir la eficiencia en las decisiones de los fallos de primera instancia</t>
  </si>
  <si>
    <t>Expedientes Disciplinarios Confirmados Segunda Instancia/
Expedientes Disciplinarios Apelados</t>
  </si>
  <si>
    <t>Porcentaje De Quejas Contra Funcionarios Tramitadas Dentro De Los Términos De Ley</t>
  </si>
  <si>
    <t>Realizar seguimiento a la oportunidad de respuesta a las Quejas de los funcionarios.</t>
  </si>
  <si>
    <t>Quejas contra funcionarios tramitadas dentro de los términos de ley/
Quejas recibidas</t>
  </si>
  <si>
    <t>Superintendencia Delegada para el Registro</t>
  </si>
  <si>
    <t>Orientación Inspección Vigilancia y Control Registral</t>
  </si>
  <si>
    <t>GOIVCR</t>
  </si>
  <si>
    <t>Gestion de Control Registral</t>
  </si>
  <si>
    <t>GC</t>
  </si>
  <si>
    <t>GOIVCR-GC-INDI-1</t>
  </si>
  <si>
    <t xml:space="preserve">Porcentaje De Nombramientos Tramitados Dentro de los Terminos De Registradores Ad-Hoc </t>
  </si>
  <si>
    <t>Realizar seguimiento a la oportunidad de nombramiento de Registradores Ad - Hoc</t>
  </si>
  <si>
    <t>Nombramientos AD- Hoc dentro de los términos/
Solicitudes de nombramientos AD - Hoc recibidos</t>
  </si>
  <si>
    <t>BD 
Nombramiento AD - Hoc</t>
  </si>
  <si>
    <t>Gestion Jurídica para la Inspección y Vigilancia</t>
  </si>
  <si>
    <t>Gestion de Inspección y Vigilancia Registral</t>
  </si>
  <si>
    <t>GIVR</t>
  </si>
  <si>
    <t>GOIVCR-GIVR-INDI-1</t>
  </si>
  <si>
    <t>Porcentaje De Visitas Generales A ORIP's Ejecutadas</t>
  </si>
  <si>
    <r>
      <t xml:space="preserve">Realizar seguimiento </t>
    </r>
    <r>
      <rPr>
        <b/>
        <i/>
        <sz val="8"/>
        <rFont val="Calibri"/>
        <family val="2"/>
      </rPr>
      <t>a la ejecución del plan de visitas generales</t>
    </r>
    <r>
      <rPr>
        <sz val="8"/>
        <rFont val="Calibri"/>
        <family val="2"/>
      </rPr>
      <t xml:space="preserve"> a las ORIP del país.</t>
    </r>
  </si>
  <si>
    <t>Visitas generales a ORIP´s ejecutadas/
Visitas generales a ORIP´s programadas</t>
  </si>
  <si>
    <t>Cronograma
Plan Anual de Visitas Generales ORIP´s</t>
  </si>
  <si>
    <t>GOIVCR-GIVR-INDI-2</t>
  </si>
  <si>
    <t>Porcentaje De Visitas Generales A ORIP's Con Planes De Mejoramiento</t>
  </si>
  <si>
    <t>Realizar seguimiento a los resultados de las visitas generales</t>
  </si>
  <si>
    <t>Informes de visitas generales a ORIP´s presentados dentro de los términos/
Visitas generales a ORIP´s ejecutadas</t>
  </si>
  <si>
    <t>BD Plan Anual de Visitas Generales ORIP´s</t>
  </si>
  <si>
    <t>Orientación Registral</t>
  </si>
  <si>
    <t>GOR</t>
  </si>
  <si>
    <t>GOIVCR-GOR-INDI-1</t>
  </si>
  <si>
    <t>Porcentaje De Respuestas Tramitadas Dentro De Los Términos De Ley A Requerimientos De Los Ciudadanos Frente Al Servicio Registral</t>
  </si>
  <si>
    <r>
      <t>Realizar seguimiento a la oportunidad de respuesta a los requerimientos del ciudadano frente a los servicios que prestan las ORIP´s (Derechos de petición, Quejas, reclamos</t>
    </r>
    <r>
      <rPr>
        <b/>
        <sz val="8"/>
        <rFont val="Calibri"/>
        <family val="2"/>
      </rPr>
      <t>)</t>
    </r>
  </si>
  <si>
    <t>Requerimientos tramitados dentro del término de Ley/
Requerimientos recibidos</t>
  </si>
  <si>
    <t>BD- 
PQR Registral</t>
  </si>
  <si>
    <t>Dirección de Administración Notarial</t>
  </si>
  <si>
    <t>Orientación Inspección Vigilancia y Control Notarial</t>
  </si>
  <si>
    <t>GOIVCN</t>
  </si>
  <si>
    <t>Administración Notarial Respecto A Las Situaciones Administrativas</t>
  </si>
  <si>
    <t>DAN</t>
  </si>
  <si>
    <t>GOIVCN-DAN-INDI-1</t>
  </si>
  <si>
    <t>Porcentaje De Novedades De Notarios Tramitadas</t>
  </si>
  <si>
    <t>Realizar seguimiento al trámite de las novedades presentadas por los notarios y notarias.</t>
  </si>
  <si>
    <t>Novedades tramitadas/
Novedades recibidas</t>
  </si>
  <si>
    <t>BD- NOTARIOS
BD-NOTARIAS</t>
  </si>
  <si>
    <t>GOIVCN-DAN-INDI-2</t>
  </si>
  <si>
    <t>Porcentaje De Novedades De Notarias Tramitadas</t>
  </si>
  <si>
    <t>GOIVCN-DAN-INDI-3</t>
  </si>
  <si>
    <t>Porcentaje De Certificaciones Emitidas</t>
  </si>
  <si>
    <t>Realizar seguimiento a las certificaciones emitidas dentro del término establecido por la Ley.</t>
  </si>
  <si>
    <t>Certificaciones tramitadas dentro del tiempo establecido por Ley.
Total certificaciones solicitadas</t>
  </si>
  <si>
    <t>BD-1. CONTROL EXPEDICIÓN DE CERTIFICACIONES</t>
  </si>
  <si>
    <t xml:space="preserve">Dirección De Vigilancia Y Control Notarial </t>
  </si>
  <si>
    <t>Gestion Disciplinaria Notarial</t>
  </si>
  <si>
    <t>Control De la Gestion Notarial</t>
  </si>
  <si>
    <t>CGN</t>
  </si>
  <si>
    <t>GOIVCN-CGN-INDI-1</t>
  </si>
  <si>
    <t>Porcentaje De Actuaciones Tramitadas Dentro De Los Terminos De Actuaciones Disciplinarias</t>
  </si>
  <si>
    <t>Realizar seguimiento a las diferentes etapas surtidas en las actuaciones disciplinarias a través de informes</t>
  </si>
  <si>
    <t>Número de informes elaborados dentro de los términos/ número de informes programados</t>
  </si>
  <si>
    <t>SGD</t>
  </si>
  <si>
    <t>Estable</t>
  </si>
  <si>
    <t>GOIVCN-CGN-INDI-2</t>
  </si>
  <si>
    <t>Porcentaje De Actuaciones Disciplinarias Impulsadas</t>
  </si>
  <si>
    <t>Realizar seguimiento al impulso dado a los procesos disciplinarios Funcionarios.</t>
  </si>
  <si>
    <t>BD 
Expedientes Activos</t>
  </si>
  <si>
    <t>GOIVCN-CGN-INDI-3</t>
  </si>
  <si>
    <t>Porcentaje De Expedientes Disciplinarios Que Prescriben Durante La Vigencia Resueltos</t>
  </si>
  <si>
    <t>Realizar seguimiento al estado de los expedientes activos que se prescriban durante la vigencia</t>
  </si>
  <si>
    <t>Expedientes disciplinarios resueltos/
Expedientes disciplinarios activos</t>
  </si>
  <si>
    <t>GOIVCN-CGN-INDI-4</t>
  </si>
  <si>
    <t>Inspección De La Gestion Notarial</t>
  </si>
  <si>
    <t>IGN</t>
  </si>
  <si>
    <t>GOIVCN-IGN-INDI-1</t>
  </si>
  <si>
    <t>Porcentaje De Visitas Generales A Notarias Ejecutadas</t>
  </si>
  <si>
    <t>Realizar seguimiento a la ejecución del plan de visitas generales a las Notarias del país.</t>
  </si>
  <si>
    <t>Visitas generales a Notarias ejecutadas/
Visitas generales a Notarias programadas</t>
  </si>
  <si>
    <t>BD Plan Anual de Visitas Generales Notarias</t>
  </si>
  <si>
    <t>GOIVCN-IGN-INDI-2</t>
  </si>
  <si>
    <t>Porcentaje De Visitas Especiales A Notarias Ejecutadas</t>
  </si>
  <si>
    <t>Realizar seguimiento a la ejecución del plan de visitas especiales a las Notarias del país.</t>
  </si>
  <si>
    <t>Visitas especiales a Notarias ejecutadas/
Visitas especiales a Notarias programadas</t>
  </si>
  <si>
    <t>BD Plan Anual de Visitas Especiales Notarias</t>
  </si>
  <si>
    <t>Vigilancia Notarial y
Gestion Disciplinaria Notarial</t>
  </si>
  <si>
    <t>Vigilancia De la Gestion Notarial</t>
  </si>
  <si>
    <t>VGN</t>
  </si>
  <si>
    <t>GOIVCN-VGN-INDI-1</t>
  </si>
  <si>
    <t xml:space="preserve">Porcentaje De Respuestas Tramitadas Dentro De Los Términos De Ley A Requerimientos De Los Ciudadanos Frente Al Servicio Notarial </t>
  </si>
  <si>
    <r>
      <t>Realizar seguimiento a la oportunidad de respuesta a los requerimientos del ciudadano frente a los servicios que prestan las Notarias (Derechos de petición, Quejas, reclamos</t>
    </r>
    <r>
      <rPr>
        <b/>
        <sz val="8"/>
        <rFont val="Calibri"/>
        <family val="2"/>
      </rPr>
      <t>)</t>
    </r>
  </si>
  <si>
    <t>BD- 
PQR Notarial</t>
  </si>
  <si>
    <t>Dirección Administrativa y Financiera</t>
  </si>
  <si>
    <t>Tesorería</t>
  </si>
  <si>
    <t>Gestion Financiera</t>
  </si>
  <si>
    <t>GF</t>
  </si>
  <si>
    <t>Gestion Tesorería</t>
  </si>
  <si>
    <t>GT</t>
  </si>
  <si>
    <t>GF-GT-INDI-1</t>
  </si>
  <si>
    <t>Variación Del Recaudos Por Venta De Bienes Y Servicios.</t>
  </si>
  <si>
    <t>Realizar seguimiento a la variación del recaudo por venta de bienes y servicios frente al mismo periodo anterior.</t>
  </si>
  <si>
    <t>(Valor mensual año actual - Valor mensual año anterior)/  
Valor mensual año anterior</t>
  </si>
  <si>
    <t xml:space="preserve">Balance  General </t>
  </si>
  <si>
    <t>GF-GT-INDI-2</t>
  </si>
  <si>
    <t>Porcentaje De Cumplimiento Del Plan Anual Mensualizado De Caja</t>
  </si>
  <si>
    <t>Realizar seguimiento a la ejecución del Plan Anual Mensualizado de Caja PAC.</t>
  </si>
  <si>
    <t>Valor mensual de pagos / 
Valor Presupuesto asignado PAC</t>
  </si>
  <si>
    <t>SIIF</t>
  </si>
  <si>
    <t>Presupuesto</t>
  </si>
  <si>
    <t>Gestion Presupuesto</t>
  </si>
  <si>
    <t>GP</t>
  </si>
  <si>
    <t>GF-GP-INDI-1</t>
  </si>
  <si>
    <t>Porcentaje De Ejecución Del Presupuesto De Ingresos</t>
  </si>
  <si>
    <t>Realizar seguimiento a la ejecución del anteproyecto de Presupuesto de Ingresos.</t>
  </si>
  <si>
    <t>Presupuesto Ingresos Reales/
Presupuesto Ingresos Estimado</t>
  </si>
  <si>
    <t>Anteproyecto Presupuesto</t>
  </si>
  <si>
    <t>GF-GP-INDI-2</t>
  </si>
  <si>
    <t>Porcentaje De Presupuesto De Funcionamiento Apropiado Que Se Encuentra Comprometido</t>
  </si>
  <si>
    <t>Realizar seguimiento a la ejecución del presupuesto de gastos
aprobado y  medir el nivel de reservas
presupuestales para el siguiente período.</t>
  </si>
  <si>
    <t>Presupuesto de gastos funcionamiento comprometido /
Presupuesto funcionamiento apropiado.</t>
  </si>
  <si>
    <t>Recaudos y Subsidios notariales</t>
  </si>
  <si>
    <t>Gestion Recaudos y Subsidios Notariales</t>
  </si>
  <si>
    <t>GRSN</t>
  </si>
  <si>
    <t>GF-GRSN-INDI-1</t>
  </si>
  <si>
    <t>Porcentaje De Informes Estadísticos Notariales Registrados</t>
  </si>
  <si>
    <t>Realizar seguimiento al cumplimiento de entrega de los informes estadísticos notariales</t>
  </si>
  <si>
    <t>IEN Evaluados y Registrados /
IEN Recaudados</t>
  </si>
  <si>
    <t>BD 
Recaudos y Subsidios Notariales</t>
  </si>
  <si>
    <t>GF-GRSN-INDI-2</t>
  </si>
  <si>
    <t>Porcentaje De Recaudos Identificados</t>
  </si>
  <si>
    <r>
      <t xml:space="preserve">Realizar seguimiento </t>
    </r>
    <r>
      <rPr>
        <b/>
        <sz val="8"/>
        <color indexed="8"/>
        <rFont val="Calibri"/>
        <family val="2"/>
      </rPr>
      <t>la certeza del recaudo en las cuentas asignadas para este fin</t>
    </r>
  </si>
  <si>
    <t>Valor de Recursos Identificados / 
Valor de Recursos Recaudados</t>
  </si>
  <si>
    <t>BD
Recaudos y Subsidios Notariales</t>
  </si>
  <si>
    <t>Contabilidad</t>
  </si>
  <si>
    <t>Gestion de Contabilidad y Costos</t>
  </si>
  <si>
    <t>GCC</t>
  </si>
  <si>
    <t>GF-GCC-INDI-1</t>
  </si>
  <si>
    <t xml:space="preserve">Índice Razón Corriente </t>
  </si>
  <si>
    <t>Realizar seguimiento a la liquidez financiera de la entidad</t>
  </si>
  <si>
    <t xml:space="preserve">índice </t>
  </si>
  <si>
    <t>Activo Corriente/
Pasivo Corriente</t>
  </si>
  <si>
    <t>Estados Financieros</t>
  </si>
  <si>
    <t>Barras</t>
  </si>
  <si>
    <t>1 - 2</t>
  </si>
  <si>
    <t xml:space="preserve">Ascendente </t>
  </si>
  <si>
    <t>GF-GCC-INDI-2</t>
  </si>
  <si>
    <t>Índice Capital De Trabajo</t>
  </si>
  <si>
    <t>Realizar seguimiento a la los recursos que requiere la entidad para trabajar</t>
  </si>
  <si>
    <t>Activo Corriente - 
Pasivo Corriente</t>
  </si>
  <si>
    <t>GF-GCC-INDI-3</t>
  </si>
  <si>
    <t>Índice Prueba Acida</t>
  </si>
  <si>
    <t>Realizar seguimiento a la liquidez de la Entidad, en relación a la capacidad de pago para cumplir con la obligaciones en caso que estas se deban pagar de un momento a otro</t>
  </si>
  <si>
    <t>(Activo corriente – Activos poco líquidos)/
Pasivo corriente</t>
  </si>
  <si>
    <t>GF-GCC-INDI-</t>
  </si>
  <si>
    <t>Índice Capital Neto De Trabajo</t>
  </si>
  <si>
    <t xml:space="preserve">Realizar seguimiento a los recursos que requiera la Entidad para trabajar sin tener que acudir a fondos extraordinarios. </t>
  </si>
  <si>
    <t>(Activo Corriente - Pasivo Corriente) / 
Activo Poco Liquido</t>
  </si>
  <si>
    <t>Índice Margen Bruto De Utilidad</t>
  </si>
  <si>
    <t>Realizar seguimiento al porcentaje de utilidad logrado por la Entidad después de haber cancelado las  existencias</t>
  </si>
  <si>
    <t>Utilidad bruta/
Ventas de Servicios netas</t>
  </si>
  <si>
    <t>Índice Margen Operacional De Utilidad</t>
  </si>
  <si>
    <t>Realizar seguimiento al margen operacional (gastos administrativos y de ventas por bienes y Servicios)</t>
  </si>
  <si>
    <t>Índice</t>
  </si>
  <si>
    <t>utilidad operacional/
ventas de Servicios netas</t>
  </si>
  <si>
    <t>Índice Margen Neto De Utilidad</t>
  </si>
  <si>
    <t>Realizar seguimiento al margen operacional (gastos administrativos y de ventas por bienes y Servicios, monto de ingresos y egresos no operacionales y la provisión para el impuesto de renta)</t>
  </si>
  <si>
    <t>Utilidad Neta/
ventas de Servicios netas</t>
  </si>
  <si>
    <t xml:space="preserve">Índice Rendimiento De Patrimonio </t>
  </si>
  <si>
    <t>Rendimiento que tenemos sobre la inversión (acciones)</t>
  </si>
  <si>
    <t xml:space="preserve">Utilidad neta/ 
patrimonio </t>
  </si>
  <si>
    <t>Índice Rendimiento Del Activo Total</t>
  </si>
  <si>
    <t>Nos muestra la capacidad del activo para producir utilidades</t>
  </si>
  <si>
    <t>utilidad neta/
activo total bruto</t>
  </si>
  <si>
    <t>Índice Ebitda</t>
  </si>
  <si>
    <t>Es el valor de la utilidad operacional de la entidad en términos de efectivo</t>
  </si>
  <si>
    <t xml:space="preserve"> (utilidad operacional + gasto por depreciación + gasto por amortizaciones)</t>
  </si>
  <si>
    <t>Índice Nivel De Endeudamiento</t>
  </si>
  <si>
    <t>Establece la participación de los acreedores dentro de la empresa, es decir que por cada peso que la entidad tiene invertido en activos, hay una participación que ha sido financiada por los acreedores</t>
  </si>
  <si>
    <t>total pasivos con terceros/
total activo</t>
  </si>
  <si>
    <t>Índice De Concentración De Endeudamiento En El Corto Plazo</t>
  </si>
  <si>
    <t>Establece que porcentaje del total de los pasivos con terceros tiene vencimiento a menos de un año</t>
  </si>
  <si>
    <t>Pasivo corriente/
Pasivo total con terceros</t>
  </si>
  <si>
    <t>Reconocimiento de Pensiones y Cartera de Vivienda</t>
  </si>
  <si>
    <t>Gestión Reconocimiento De Pensiones Y Cartera De Vivienda</t>
  </si>
  <si>
    <t>Porcentaje de certifiaciones solicitadas, contestadas dentro de los Terminos</t>
  </si>
  <si>
    <t>Cumplir con la respuesta de las certificaiones,en los terminos de ley</t>
  </si>
  <si>
    <t>Certificaciones emitias / 
Certificaciones solicitadas</t>
  </si>
  <si>
    <t>Base de datos de Pension</t>
  </si>
  <si>
    <t>mensual</t>
  </si>
  <si>
    <t>LINEAS</t>
  </si>
  <si>
    <t>Infraestructura</t>
  </si>
  <si>
    <t>Gestion Administrativa</t>
  </si>
  <si>
    <t>GA</t>
  </si>
  <si>
    <t>Diseño y Mantenimiento de la Infraestructura Física</t>
  </si>
  <si>
    <t>DMIF</t>
  </si>
  <si>
    <t>GA-DMIF-INDI-</t>
  </si>
  <si>
    <t>Porcentaje De Metas Alcanzadas Con Los Proyectos De Inversión.</t>
  </si>
  <si>
    <t xml:space="preserve">Realizar el seguimiento de las metas de los proyectos de inversión que maneja el Grupo de Infraestructura de la SNR. </t>
  </si>
  <si>
    <t>Productos alcanzados/
Producto Programado  en los proyectos de inversión para el periodo</t>
  </si>
  <si>
    <t>SPI</t>
  </si>
  <si>
    <t>Porcentaje De Facturas Y/O Cuentas De Cobro De Contratos De Arriendo Gestionadas Dentro De Los Términos.</t>
  </si>
  <si>
    <t>Realizar seguimiento a los contratos de arrendamiento, mediante la expedición de Certificados de Cumplimiento mensuales</t>
  </si>
  <si>
    <t xml:space="preserve">No. de Facturas y/o cuentas Gestionadas/ 
No. Facturas y/o cuentas de cobro radicadas </t>
  </si>
  <si>
    <t>BD Control de Pagos de Arriendo</t>
  </si>
  <si>
    <t>Porcentaje De Respuestas Tramitadas Dentro De Los Terminos A Solicitudes De Apoyo De Infraestructura</t>
  </si>
  <si>
    <t>Realizar seguimiento a los tiempos de respuesta de las solicitudes enviadas por las ORIP al Grupo de Infraestructura</t>
  </si>
  <si>
    <t>Solicitudes de apoyo de Infraestructura tramitados dentro de los términos/ 
Solicitudes de apoyo de Infraestructura recibidas</t>
  </si>
  <si>
    <t>BD Control de requerimientos de Infraestructura</t>
  </si>
  <si>
    <t>Gestion Documental</t>
  </si>
  <si>
    <t>GA-GD-INDI-</t>
  </si>
  <si>
    <t>Porcentaje De Correspondencia Externa Radicada(ER) Distribuida Dentro De Los Términos</t>
  </si>
  <si>
    <t>Administrar la documentación recibida y producida por la Entidad mediante el uso de los estándares del tratamiento de documentos y la normatividad vigente</t>
  </si>
  <si>
    <t>Correspondencia Externa Enviada dentro de los términos/ 
Correspondencia Externa Recibida EE</t>
  </si>
  <si>
    <t>Aplicativo IRIS Documental</t>
  </si>
  <si>
    <t>Porcentaje De Correspondencia Externa Enviada (ER) Dentro De Los Términos</t>
  </si>
  <si>
    <t>Correspondencia Externa Enviada Correctamente / 
Correspondencia Recibida EE en la unidad de correspondencia.</t>
  </si>
  <si>
    <t>Sipost</t>
  </si>
  <si>
    <t>Porcentaje De Devoluciones De Correspondencia</t>
  </si>
  <si>
    <t>Numero de Correspondencia devuelta/
Total de Correspondencia Realizada</t>
  </si>
  <si>
    <t>Porcentaje De Cumplimiento Del Plan De Transferencias Documentales Primarias</t>
  </si>
  <si>
    <t>Realizar seguimiento al plan de transferencias primarias al archivo general</t>
  </si>
  <si>
    <t>Transferencias documentales primarias realizadas/
Transferencias documentales primarias programadas</t>
  </si>
  <si>
    <t>Plan de Transferencias primarias</t>
  </si>
  <si>
    <t>Servicios Administrativos</t>
  </si>
  <si>
    <t>GSA</t>
  </si>
  <si>
    <t>GA-GSA-INDI-</t>
  </si>
  <si>
    <t>Porcentaje De Respuestas Tramitadas Dentro De Los Términos A Solicitudes De Suministros De Elementos De Bienes.</t>
  </si>
  <si>
    <t>Medir la Oportunidad de respuesta a solicitudes de suministro de elementos en el nivel central</t>
  </si>
  <si>
    <t>Solicitudes de suministros de bienes ejecutadas dentro de los términos/
Solicitudes de suministros realizadas</t>
  </si>
  <si>
    <t xml:space="preserve">BD
Almacén General </t>
  </si>
  <si>
    <t>Variación Del Consumo De Combustible Por Kilometro</t>
  </si>
  <si>
    <t>Realizar seguimiento a la variación del consumo de combustible por Kilometro</t>
  </si>
  <si>
    <t>(galones/km mensual año actual - galones/km mensual año anterior)/  
galones/km mensual año anterior</t>
  </si>
  <si>
    <t>BD Parque Automotor</t>
  </si>
  <si>
    <t xml:space="preserve">Variación De Las Horas Extras Conductores </t>
  </si>
  <si>
    <t>Realizar seguimiento a la variación de las horas extras de los conductores</t>
  </si>
  <si>
    <t>(Horas Extras mensual año actual - Hora Extras mensual año anterior)/  
Horas Extras mensual año anterior</t>
  </si>
  <si>
    <t>BD GPS</t>
  </si>
  <si>
    <t>Dirección de Contratación</t>
  </si>
  <si>
    <t>Control y Seguimiento Contractual</t>
  </si>
  <si>
    <t>GA--INDI-</t>
  </si>
  <si>
    <t>Numero De Contratos Con Seguimiento Preventivo</t>
  </si>
  <si>
    <t>Realizar seguimiento a las correcta ejecución de los contratos.</t>
  </si>
  <si>
    <t>#</t>
  </si>
  <si>
    <t>Contratos con seguimiento preventivo</t>
  </si>
  <si>
    <t>BD 
Control y Seguimiento Contractual</t>
  </si>
  <si>
    <t>6 Contratos</t>
  </si>
  <si>
    <t>Numero De Contratos Con Seguimiento Correctivo</t>
  </si>
  <si>
    <t>TOMAR LAS MEDIDAS NECESARIAS DE ORDEN ADMINISTRATIVO, PARA LOGRAR LA CORRECTA EJECUCIÓN DE LOS CONTRATOS</t>
  </si>
  <si>
    <t>Actos administrativos que declaran el incumplimiento de un contrato en el periodo</t>
  </si>
  <si>
    <t>5 Contratos</t>
  </si>
  <si>
    <t>Gestion de Compras y Contratación</t>
  </si>
  <si>
    <t>Porcentaje De Procesos Adelantados, Conforme A Las Necesidades Aprobadas Por El Comité De Contratación</t>
  </si>
  <si>
    <t>Realizar seguimiento a la gestión en contratación respecto de la satisfacción de las necesidades presentadas por las dependencias a Nivel Nacional, mediante las diferentes modalidades de contratación establecidas en la ley.</t>
  </si>
  <si>
    <t>Procesos Adelantados/ 
Necesidades presentadas aprobadas por el Comité de Contratación</t>
  </si>
  <si>
    <t xml:space="preserve">BD
contratación </t>
  </si>
  <si>
    <t>Est</t>
  </si>
  <si>
    <t>Macroproceso: Relacionamiento con el ciudadano</t>
  </si>
  <si>
    <t>Proceso: Mecanismos de participación ciudadana OAC</t>
  </si>
  <si>
    <t>Grupo de Trabajo :  Oficina de Atención al Ciudadano</t>
  </si>
  <si>
    <t>MP - RNCO - PO - 02 - IN - 01</t>
  </si>
  <si>
    <t>Indice de  Satisfacción de los Ciudadanos atendidos por la Oficina de Atencion al Ciudadano.</t>
  </si>
  <si>
    <t>Realizar seguimiento a la percepción de satisfacción de los ciudadanos atendidos por la Oficina de Atencion al Ciudadano</t>
  </si>
  <si>
    <t xml:space="preserve">Ciudadanos satisfechos /
Ciudadanos encuestados </t>
  </si>
  <si>
    <t>Encuesta aplicada oficina OAC</t>
  </si>
  <si>
    <t>Cuatrimestral</t>
  </si>
  <si>
    <t>MP - RNCO - PO - 02 - IN - 02</t>
  </si>
  <si>
    <t>Indice de Satisfacción de los Ciudadanos atendidos por las ORIP del País.</t>
  </si>
  <si>
    <t>Realizar seguimiento a la percepción de satisfacción de los ciudadanos atendidos por las ORIP del  país</t>
  </si>
  <si>
    <t>Plataforma SISG</t>
  </si>
  <si>
    <t>Procesos: Mecanismos de participación ciudadana OAC</t>
  </si>
  <si>
    <t>Reporte de Datos</t>
  </si>
  <si>
    <t>No.</t>
  </si>
  <si>
    <t>NOMBRE</t>
  </si>
  <si>
    <t>FORMULA</t>
  </si>
  <si>
    <t xml:space="preserve">REPORTE DE DATOS </t>
  </si>
  <si>
    <t>ene</t>
  </si>
  <si>
    <t>feb</t>
  </si>
  <si>
    <t>mar</t>
  </si>
  <si>
    <t>abr</t>
  </si>
  <si>
    <t>may</t>
  </si>
  <si>
    <t>jun</t>
  </si>
  <si>
    <t>jul</t>
  </si>
  <si>
    <t>ago</t>
  </si>
  <si>
    <t>sep</t>
  </si>
  <si>
    <t>oct</t>
  </si>
  <si>
    <t>nov</t>
  </si>
  <si>
    <t>dic</t>
  </si>
  <si>
    <t>Total</t>
  </si>
  <si>
    <t>Ciudadanos satisfechos</t>
  </si>
  <si>
    <t>Ciudadanos encuestados</t>
  </si>
  <si>
    <t xml:space="preserve">META </t>
  </si>
  <si>
    <t>Gráficos y Análisis</t>
  </si>
  <si>
    <t>Mecanismos de participación ciudadana OAC</t>
  </si>
  <si>
    <t>Graficos y Análisis</t>
  </si>
  <si>
    <t>NOMBRE INDICADOR 1: Indice de  Satisfacción de los Ciudadanos atendidos por la Oficina de Atencion al Ciudadano.</t>
  </si>
  <si>
    <t>ANÁLISIS CUALITATIVO DE DATOS Y TENDENCIAS</t>
  </si>
  <si>
    <t>PRIMER CUATRIMESTRE</t>
  </si>
  <si>
    <t>SEGUNDO CUATRIMESTRE</t>
  </si>
  <si>
    <t>TERCER CUATRIMESTRE</t>
  </si>
  <si>
    <t>Se logró la meta del 95% establecida para este indicador. En este cuatrimestre se realizaron 312 encuestas, de las cuales 303 generaron un índice de percepción satisfactorio por parte del ciudadano atendido en la Oficina de Atención al Ciudadano de la SNR, equivalente al 98%.</t>
  </si>
  <si>
    <t>Se logró la meta del 95% establecida para este indicador. En el segundo  cuatrimestre se realizaron 355 encuestas, de las cuales 349 generaron un índice de percepción satisfactorio por parte del ciudadano atendido en la Oficina de Atención al Ciudadano de la SNR, equivalente al 99,26%.</t>
  </si>
  <si>
    <t>Se logró la meta del 95% establecida para este indicador. En el tercer  cuatrimestre se realizaron 483 encuestas, de las cuales 480 generaron un índice de percepción satisfactorio por parte del ciudadano atendido en la Oficina de Atención al Ciudadano de la SNR, equivalente al 99,40%.</t>
  </si>
  <si>
    <t>ACCIONES PARA LA  MEJORA</t>
  </si>
  <si>
    <t>N/A</t>
  </si>
  <si>
    <t xml:space="preserve"> Acción Correctiva-Preventiva </t>
  </si>
  <si>
    <t>NOMBRE INDICADOR 2: Indice de Satisfacción de los Ciudadanos atendidos por las ORIP del País.</t>
  </si>
  <si>
    <t>Se logró la meta del 98% establecida para este indicador. En este cuatrimestre se realizaron 10.504 encuestas, de las cuales 10.243 generaron un índice de percepción satisfactorio por parte del ciudadano en las diferentes Oficinas de Registro de Instrumentos Públicos del país, equivalente al 98%.</t>
  </si>
  <si>
    <t>Se logró la meta del 98% establecida para este indicador. En el segundo cuatrimestre se realizaron 14.541 encuestas, de las cuales 14.187 generaron un índice de percepción satisfactorio por parte del ciudadano en las diferentes Oficinas de Registro de Instrumentos Públicos del país, equivalente al 98%.</t>
  </si>
  <si>
    <t>Se logró la meta del 98% establecida para este indicador. En el tercer cuatrimestre se realizaron 18.165 encuestas, de las cuales 17.741 generaron un índice de percepción satisfactorio por parte del ciudadano en las diferentes Oficinas de Registro de Instrumentos Públicos del país, equivalente al 98%.</t>
  </si>
  <si>
    <t>PQRS 1er Trimestre 2016</t>
  </si>
  <si>
    <t>Direccionadas Dependencias Nivel Central</t>
  </si>
  <si>
    <t>Direccionadas Notarias y Otras Entidades</t>
  </si>
  <si>
    <t>OAC</t>
  </si>
  <si>
    <t>Delegada de Notariado</t>
  </si>
  <si>
    <t>Delegada de Registro</t>
  </si>
  <si>
    <t>Delegada de Tierras</t>
  </si>
  <si>
    <t>Direcciòn Administrativa y Financiera</t>
  </si>
  <si>
    <t>Direcciòn Administraciòn Notarial</t>
  </si>
  <si>
    <t>E-mail</t>
  </si>
  <si>
    <t>Direcciòn de Talento Humano</t>
  </si>
  <si>
    <t>Presencial</t>
  </si>
  <si>
    <t>Direcciòn Vigilancia y Control Notarial</t>
  </si>
  <si>
    <t>Telèfono</t>
  </si>
  <si>
    <t>Direcciòn Tècnica de Registro</t>
  </si>
  <si>
    <t>Lìnea 018000</t>
  </si>
  <si>
    <t>Oficina Asesora Jurìdica</t>
  </si>
  <si>
    <t xml:space="preserve">Correspondencia </t>
  </si>
  <si>
    <t>Oficina Control Interno Disciplinario</t>
  </si>
  <si>
    <t>Oficina Tecnologìas de la Informaciòn</t>
  </si>
  <si>
    <t>Subdirecciòn de Apoyo Jurìdica Registral</t>
  </si>
  <si>
    <t>Grupo Servicios Administrativos</t>
  </si>
  <si>
    <t xml:space="preserve">Grupo de Divulgaciòn </t>
  </si>
  <si>
    <t>Despacho Superintendente</t>
  </si>
  <si>
    <t>Direcciòn Talento Humano</t>
  </si>
  <si>
    <t>Respondidas en los tèrminos señalados en la Ley 1755 de 2015</t>
  </si>
  <si>
    <t>Grupo Gestiòn Documental</t>
  </si>
  <si>
    <t>Respondidas fuera de los tèrminos</t>
  </si>
  <si>
    <t>Oficina Asesora de Planeaciòn</t>
  </si>
  <si>
    <t>Aùn no han enviado o indexado respuesta</t>
  </si>
  <si>
    <t>Consulta</t>
  </si>
  <si>
    <t xml:space="preserve">Denuncia </t>
  </si>
  <si>
    <t>Estado Radicado</t>
  </si>
  <si>
    <t>Notificaciòn</t>
  </si>
  <si>
    <t>Peticiòn Informativa</t>
  </si>
  <si>
    <t xml:space="preserve">Queja </t>
  </si>
  <si>
    <t>Reclamo</t>
  </si>
  <si>
    <t>Solicitud</t>
  </si>
  <si>
    <t>Tutela</t>
  </si>
  <si>
    <t>Demora Tràmite Notarial</t>
  </si>
  <si>
    <t>Informaciòn General</t>
  </si>
  <si>
    <t>Liquidaciòn Derechos Notariales</t>
  </si>
  <si>
    <t>Mala prestaciòn del servicio Notarial</t>
  </si>
  <si>
    <t>Tràmite Notarial</t>
  </si>
  <si>
    <t xml:space="preserve">Proceso Biometrìa </t>
  </si>
  <si>
    <t>Actualizaciòn</t>
  </si>
  <si>
    <t>Certificado en Lìnea</t>
  </si>
  <si>
    <t>Demora Tràmite Registral</t>
  </si>
  <si>
    <t>Estado Recursos de Apelaciòn</t>
  </si>
  <si>
    <t>Tràmite Registral</t>
  </si>
  <si>
    <t>Mala prestaciòn del Servicio Registral</t>
  </si>
  <si>
    <t>Tràmite en la SNR</t>
  </si>
  <si>
    <t>Consulta Jurìdica</t>
  </si>
  <si>
    <t xml:space="preserve">Reparto Notarial </t>
  </si>
  <si>
    <t>DEPENDENCIAS SNR ENERO 2016</t>
  </si>
  <si>
    <t>DEPENDENCIAS SNR FEBRERO 2016</t>
  </si>
  <si>
    <t>DEPENDENCIAS SNR MARZO 2016</t>
  </si>
  <si>
    <t>Fecha Radicado</t>
  </si>
  <si>
    <t>Base Jose</t>
  </si>
  <si>
    <t>Entidad</t>
  </si>
  <si>
    <t>Fecha Respuesta</t>
  </si>
  <si>
    <t>Dìas hàbiles</t>
  </si>
  <si>
    <t>PLANILLA</t>
  </si>
  <si>
    <t>SNR - DELEGADA NOTARIADO</t>
  </si>
  <si>
    <t>EE002846</t>
  </si>
  <si>
    <t>SNR - DELEGADA TIERRAS</t>
  </si>
  <si>
    <t>SNR - OFICINA ASESORA JURIDICA</t>
  </si>
  <si>
    <t>SNR - DIRECCION DE TALENTO HUMANO</t>
  </si>
  <si>
    <t>SNR - DIRECCION ADMINISTRATIVA Y FINANCIERA</t>
  </si>
  <si>
    <t>SNR - OFICINA ASESORA DE PLANEACION</t>
  </si>
  <si>
    <t>SNR - OFICINA DE TECNOLOGIAS DE LA INFORMACION</t>
  </si>
  <si>
    <t>SNR - DIRECCION TECNICA DE REGISTRO</t>
  </si>
  <si>
    <t>SNR - SUBDIRECCION DE APOYO JURIDICO REGISTRAL</t>
  </si>
  <si>
    <t>DIRECCION ADMINISTRATIVA</t>
  </si>
  <si>
    <t>DIVULGACION</t>
  </si>
  <si>
    <t>TALENTO HUMANO</t>
  </si>
  <si>
    <t>JURIDICA</t>
  </si>
  <si>
    <t>DELEGADA NOTARIADO</t>
  </si>
  <si>
    <t>SNR - DIRECCION DE VIGILANCIA Y CONTROL NOTARIAL</t>
  </si>
  <si>
    <t>SNR - DELEGADA REGISTRO</t>
  </si>
  <si>
    <t>DELEGADA TIERRAS</t>
  </si>
  <si>
    <t>SECRETARIA GENERAL</t>
  </si>
  <si>
    <t>SUBDIRECCION DE APOYO JURIDICO REGISTRAL</t>
  </si>
  <si>
    <t>SNR - DIRECCION DE ADMINISTRACION NOTARIAL</t>
  </si>
  <si>
    <t>DIRECCION TECNICA DE REGISTRO</t>
  </si>
  <si>
    <t>SNR - OFICINA DE CONTROL INTERNO DISCIPLINARIO</t>
  </si>
  <si>
    <t>SNR - GRUPO DE GESTION DOCUMENTAL</t>
  </si>
  <si>
    <t>SNR - SECRETARIA GENERAL</t>
  </si>
  <si>
    <t>SNR - DESPACHO DEL SUPERINTENDENTE</t>
  </si>
  <si>
    <t>SNR -GRUPO SERVICIOS ADMINISTRATIVOS</t>
  </si>
  <si>
    <t>ENTIDADES ENERO 2016</t>
  </si>
  <si>
    <t>ENTIDADES FEBRERO 2016</t>
  </si>
  <si>
    <t>ENTIDADES MARZO 2016</t>
  </si>
  <si>
    <t>Fecha Remisiòn</t>
  </si>
  <si>
    <t>EE000293</t>
  </si>
  <si>
    <t>NC- REGISTRADURIA</t>
  </si>
  <si>
    <t>EE002391</t>
  </si>
  <si>
    <t>NOTARIO</t>
  </si>
  <si>
    <t>EE006768</t>
  </si>
  <si>
    <t>EE000731</t>
  </si>
  <si>
    <t>EE002356</t>
  </si>
  <si>
    <t>EE007551</t>
  </si>
  <si>
    <t>EE000634</t>
  </si>
  <si>
    <t>EE002455</t>
  </si>
  <si>
    <t>EE007547</t>
  </si>
  <si>
    <t>EE000720</t>
  </si>
  <si>
    <t>EE002204</t>
  </si>
  <si>
    <t>EE006698</t>
  </si>
  <si>
    <t>EE001014</t>
  </si>
  <si>
    <t>EE002463</t>
  </si>
  <si>
    <t>EE006596</t>
  </si>
  <si>
    <t>NC- SUPERFINANCIERA</t>
  </si>
  <si>
    <t>EE001870</t>
  </si>
  <si>
    <t>EE002465</t>
  </si>
  <si>
    <t>EE006740</t>
  </si>
  <si>
    <t>EE001839</t>
  </si>
  <si>
    <t>EE002347</t>
  </si>
  <si>
    <t>EE006871</t>
  </si>
  <si>
    <t>EE001978</t>
  </si>
  <si>
    <t>EE006890</t>
  </si>
  <si>
    <t>EE001981</t>
  </si>
  <si>
    <t>NC- SUPERINDUSTRIA Y COMERCIO</t>
  </si>
  <si>
    <t>EE003770</t>
  </si>
  <si>
    <t>NC-MINAGRICULTURA</t>
  </si>
  <si>
    <t>EE006819</t>
  </si>
  <si>
    <t>NC - ALCALDE</t>
  </si>
  <si>
    <t>EE002047</t>
  </si>
  <si>
    <t>EE002676</t>
  </si>
  <si>
    <t>EE006812</t>
  </si>
  <si>
    <t>EE002044</t>
  </si>
  <si>
    <t>EE002685</t>
  </si>
  <si>
    <t>EE006780</t>
  </si>
  <si>
    <t>EE002012</t>
  </si>
  <si>
    <t>NC-IGAC</t>
  </si>
  <si>
    <t>EE002713</t>
  </si>
  <si>
    <t>NC- SECRETARIA DE PLANEACION</t>
  </si>
  <si>
    <t>EE006784</t>
  </si>
  <si>
    <t>EE002017</t>
  </si>
  <si>
    <t>NC-INCODER</t>
  </si>
  <si>
    <t>EE002863</t>
  </si>
  <si>
    <t>EE006778</t>
  </si>
  <si>
    <t>EE002056</t>
  </si>
  <si>
    <t>EE003223</t>
  </si>
  <si>
    <t>EE006893</t>
  </si>
  <si>
    <t>EE004679</t>
  </si>
  <si>
    <t>EE003777</t>
  </si>
  <si>
    <t>NC-MINEXTERIORES</t>
  </si>
  <si>
    <t>EE006852</t>
  </si>
  <si>
    <t>EE004685</t>
  </si>
  <si>
    <t>EE003324</t>
  </si>
  <si>
    <t>EE006854</t>
  </si>
  <si>
    <t>EE003323</t>
  </si>
  <si>
    <t>EE006859</t>
  </si>
  <si>
    <t>EE003789</t>
  </si>
  <si>
    <t>NC-DIAN</t>
  </si>
  <si>
    <t>EE006863</t>
  </si>
  <si>
    <t>EE003883</t>
  </si>
  <si>
    <t>NC-AREA METROPOLITANA BUCARAMANGA</t>
  </si>
  <si>
    <t>EE003813</t>
  </si>
  <si>
    <t>EE008660</t>
  </si>
  <si>
    <t>EE004181</t>
  </si>
  <si>
    <t>EE008744</t>
  </si>
  <si>
    <t>EE004226</t>
  </si>
  <si>
    <t>EE007578</t>
  </si>
  <si>
    <t>EE004268</t>
  </si>
  <si>
    <t>EE007581</t>
  </si>
  <si>
    <t>EE004272</t>
  </si>
  <si>
    <t>EE007573</t>
  </si>
  <si>
    <t>EE004235</t>
  </si>
  <si>
    <t>EE007549</t>
  </si>
  <si>
    <t>EE004147</t>
  </si>
  <si>
    <t>EE007449</t>
  </si>
  <si>
    <t>EE004230</t>
  </si>
  <si>
    <t>EE007443</t>
  </si>
  <si>
    <t>EE004613</t>
  </si>
  <si>
    <t>EE007446</t>
  </si>
  <si>
    <t>EE005378</t>
  </si>
  <si>
    <t>EE007717</t>
  </si>
  <si>
    <t>EE004971</t>
  </si>
  <si>
    <t>EE007712</t>
  </si>
  <si>
    <t>EE005552</t>
  </si>
  <si>
    <t>EE007753</t>
  </si>
  <si>
    <t>EE004937</t>
  </si>
  <si>
    <t>EE007544</t>
  </si>
  <si>
    <t>EE008871</t>
  </si>
  <si>
    <t>EE007472</t>
  </si>
  <si>
    <t>EE005545</t>
  </si>
  <si>
    <t>EE007480</t>
  </si>
  <si>
    <t>EE001975</t>
  </si>
  <si>
    <t>EE007879</t>
  </si>
  <si>
    <t>EE005864</t>
  </si>
  <si>
    <t>EE008445</t>
  </si>
  <si>
    <t>EE005852</t>
  </si>
  <si>
    <t>EE008335</t>
  </si>
  <si>
    <t>EE006378</t>
  </si>
  <si>
    <t>NC - EJERCITO NACIONAL</t>
  </si>
  <si>
    <t>EE008866</t>
  </si>
  <si>
    <t>EE008874</t>
  </si>
  <si>
    <t>EE008518</t>
  </si>
  <si>
    <t>EE008888</t>
  </si>
  <si>
    <t>EE009103</t>
  </si>
  <si>
    <t>NC- SECRETARIA DE HACIENDA</t>
  </si>
  <si>
    <t>EE008856</t>
  </si>
  <si>
    <t>EE009395</t>
  </si>
  <si>
    <t>EE009460</t>
  </si>
  <si>
    <t>EE009417</t>
  </si>
  <si>
    <t>EE009457</t>
  </si>
  <si>
    <t>EE009387</t>
  </si>
  <si>
    <t>EE009333</t>
  </si>
  <si>
    <t>EE010694</t>
  </si>
  <si>
    <t>EE009415</t>
  </si>
  <si>
    <t>PQRS Direccionadas dentro de los cinco (5) dìas hàbiles de su recepciòn.</t>
  </si>
  <si>
    <t xml:space="preserve">Enero </t>
  </si>
  <si>
    <t xml:space="preserve">Febrero </t>
  </si>
  <si>
    <t xml:space="preserve">Marzo </t>
  </si>
  <si>
    <t>Peticiòn de Solicitud</t>
  </si>
  <si>
    <t>No Competente</t>
  </si>
  <si>
    <t>Peticiòn Consulta</t>
  </si>
  <si>
    <t xml:space="preserve">Registradurìa </t>
  </si>
  <si>
    <t>Superintendencia de Industria y Comercio</t>
  </si>
  <si>
    <t>IGAC</t>
  </si>
  <si>
    <t>INCODER</t>
  </si>
  <si>
    <t>Notarias</t>
  </si>
  <si>
    <t>Alcalde</t>
  </si>
  <si>
    <t>Ejèrcito Nacional</t>
  </si>
  <si>
    <t>Secretaria de Planeaciòn</t>
  </si>
  <si>
    <t>Area Metropolitana de Bucaramanga</t>
  </si>
  <si>
    <t>DIAN</t>
  </si>
  <si>
    <t>Minagricultura</t>
  </si>
  <si>
    <t>Minexterior</t>
  </si>
  <si>
    <t xml:space="preserve">Secretaria de Hacienda </t>
  </si>
  <si>
    <t>Superfinanciera</t>
  </si>
  <si>
    <t>Demora tràmite Notarial</t>
  </si>
  <si>
    <t>Estado Civil</t>
  </si>
  <si>
    <t xml:space="preserve">Informaciòn General </t>
  </si>
  <si>
    <t>Mala prestaciòn servicio notarial</t>
  </si>
  <si>
    <t xml:space="preserve">Otros </t>
  </si>
  <si>
    <t>Devoluciòn de dinero</t>
  </si>
  <si>
    <t xml:space="preserve">Àreas y linderos </t>
  </si>
  <si>
    <t>Certificaciòn firma notario</t>
  </si>
  <si>
    <t>Demora tràmite Registral</t>
  </si>
  <si>
    <t>Mala prestaciòn del servicio Registral</t>
  </si>
  <si>
    <t>Peticiòn</t>
  </si>
  <si>
    <t>Denuncia</t>
  </si>
  <si>
    <t>Estado radicado</t>
  </si>
  <si>
    <t>Registro Civil</t>
  </si>
  <si>
    <t>Certificado firma Notario</t>
  </si>
  <si>
    <t>Direcciòn y telèfonos de Notarias</t>
  </si>
  <si>
    <t xml:space="preserve">N - Otros </t>
  </si>
  <si>
    <t>Reparto Notarial</t>
  </si>
  <si>
    <t>Trpamite Notarial</t>
  </si>
  <si>
    <t>Àreas y Linderos</t>
  </si>
  <si>
    <t>Cìrculo Registral</t>
  </si>
  <si>
    <t>Indice de Propietarios</t>
  </si>
  <si>
    <t>Correcciòn Notas Devolutivas</t>
  </si>
  <si>
    <t xml:space="preserve">Estado Recursos de Apelaciòn </t>
  </si>
  <si>
    <t>Mala prestaciòn del servicio registral</t>
  </si>
  <si>
    <t>Restituciòn de Armero</t>
  </si>
  <si>
    <t xml:space="preserve">Sucesiòn </t>
  </si>
  <si>
    <t>Direcciòn y telèfonos de ORIP</t>
  </si>
  <si>
    <t>Tràmite SNR</t>
  </si>
  <si>
    <t>Mala prestaciòn del servicio notarial</t>
  </si>
  <si>
    <t>No competente</t>
  </si>
  <si>
    <t>Demora solicitud de correcciòn</t>
  </si>
  <si>
    <t>Escritura Aclaratoria</t>
  </si>
  <si>
    <t>Liquidaciòn Derechos de Registro</t>
  </si>
  <si>
    <t>Pèrdida recibos de caja</t>
  </si>
  <si>
    <t>Tràmite Catastro</t>
  </si>
  <si>
    <t>ORIPS  Enero 2016</t>
  </si>
  <si>
    <t>ORIPS  Febrero 2016</t>
  </si>
  <si>
    <t>ORIPS  Marzo 2016</t>
  </si>
  <si>
    <t>Base Consolidada</t>
  </si>
  <si>
    <t>ORIP</t>
  </si>
  <si>
    <t>REGIONAL</t>
  </si>
  <si>
    <t>EE001018</t>
  </si>
  <si>
    <t>CENTRO</t>
  </si>
  <si>
    <t>CENTRAL</t>
  </si>
  <si>
    <t>EE002363</t>
  </si>
  <si>
    <t>IBAGUE</t>
  </si>
  <si>
    <t>EE006675</t>
  </si>
  <si>
    <t>EE000298</t>
  </si>
  <si>
    <t>CALI</t>
  </si>
  <si>
    <t>EE002202</t>
  </si>
  <si>
    <t>EE006763</t>
  </si>
  <si>
    <t>PEREIRA</t>
  </si>
  <si>
    <t>ANDINA</t>
  </si>
  <si>
    <t>EE000290</t>
  </si>
  <si>
    <t>EE002393</t>
  </si>
  <si>
    <t>POPAYAN</t>
  </si>
  <si>
    <t>EE006750</t>
  </si>
  <si>
    <t>PIEDECUESTA</t>
  </si>
  <si>
    <t>EE000748</t>
  </si>
  <si>
    <t>EE002395</t>
  </si>
  <si>
    <t>YOPAL</t>
  </si>
  <si>
    <t>EE006748</t>
  </si>
  <si>
    <t>PAZ DE ARIPORO</t>
  </si>
  <si>
    <t>ORINOQUIA</t>
  </si>
  <si>
    <t>EE000746</t>
  </si>
  <si>
    <t>EE002398</t>
  </si>
  <si>
    <t>GIRARDOTA</t>
  </si>
  <si>
    <t>EE007450</t>
  </si>
  <si>
    <t>SOACHA</t>
  </si>
  <si>
    <t>EE000753</t>
  </si>
  <si>
    <t>SUR</t>
  </si>
  <si>
    <t>EE002458</t>
  </si>
  <si>
    <t>EE007632</t>
  </si>
  <si>
    <t>CARTAGENA</t>
  </si>
  <si>
    <t>CARIBE</t>
  </si>
  <si>
    <t>EE001897</t>
  </si>
  <si>
    <t>NORTE</t>
  </si>
  <si>
    <t>EE002559</t>
  </si>
  <si>
    <t>NEDELLIN NORTE</t>
  </si>
  <si>
    <t>EE006759</t>
  </si>
  <si>
    <t>ARMENIA</t>
  </si>
  <si>
    <t>EE002184</t>
  </si>
  <si>
    <t>EE002358</t>
  </si>
  <si>
    <t>MEDELLIN SUR</t>
  </si>
  <si>
    <t>EE007543</t>
  </si>
  <si>
    <t>FACATATIVA</t>
  </si>
  <si>
    <t>EE001904</t>
  </si>
  <si>
    <t>EE002355</t>
  </si>
  <si>
    <t>EE006683</t>
  </si>
  <si>
    <t>EE001908</t>
  </si>
  <si>
    <t>EE002684</t>
  </si>
  <si>
    <t>EE006754</t>
  </si>
  <si>
    <t>EE001970</t>
  </si>
  <si>
    <t>EE003208</t>
  </si>
  <si>
    <t>MOMPOS</t>
  </si>
  <si>
    <t>EE006866</t>
  </si>
  <si>
    <t>EE002941</t>
  </si>
  <si>
    <t>VILLAVICENCIO</t>
  </si>
  <si>
    <t>EE006793</t>
  </si>
  <si>
    <t>PACIFICO</t>
  </si>
  <si>
    <t>EE002086</t>
  </si>
  <si>
    <t>PURIFICACION</t>
  </si>
  <si>
    <t>EE002959</t>
  </si>
  <si>
    <t>EE006801</t>
  </si>
  <si>
    <t>CERETE</t>
  </si>
  <si>
    <t>EE002050</t>
  </si>
  <si>
    <t>EE002963</t>
  </si>
  <si>
    <t>EE006701</t>
  </si>
  <si>
    <t>EE002053</t>
  </si>
  <si>
    <t>EE003196</t>
  </si>
  <si>
    <t xml:space="preserve">CALI </t>
  </si>
  <si>
    <t>EE006703</t>
  </si>
  <si>
    <t>EE002061</t>
  </si>
  <si>
    <t>GARZON</t>
  </si>
  <si>
    <t>EE003174</t>
  </si>
  <si>
    <t>EE006844</t>
  </si>
  <si>
    <t>EE002068</t>
  </si>
  <si>
    <t>NEIVA</t>
  </si>
  <si>
    <t>EE003123</t>
  </si>
  <si>
    <t>EE006845</t>
  </si>
  <si>
    <t>EE002073</t>
  </si>
  <si>
    <t>EE003310</t>
  </si>
  <si>
    <t>EE006847</t>
  </si>
  <si>
    <t xml:space="preserve">NORTE </t>
  </si>
  <si>
    <t>EE002076</t>
  </si>
  <si>
    <t>EE003379</t>
  </si>
  <si>
    <t>EE006865</t>
  </si>
  <si>
    <t>EE002196</t>
  </si>
  <si>
    <t>EE003164</t>
  </si>
  <si>
    <t>EE008640</t>
  </si>
  <si>
    <t>EE002199</t>
  </si>
  <si>
    <t>EE003367</t>
  </si>
  <si>
    <t>EE008648</t>
  </si>
  <si>
    <t>EE002557</t>
  </si>
  <si>
    <t>EE003783</t>
  </si>
  <si>
    <t>SOGAMOSO</t>
  </si>
  <si>
    <t>EE008763</t>
  </si>
  <si>
    <t>EL COCUY</t>
  </si>
  <si>
    <t>EE003188</t>
  </si>
  <si>
    <t>EE003067</t>
  </si>
  <si>
    <t>EE007535</t>
  </si>
  <si>
    <t>EE003637</t>
  </si>
  <si>
    <t>MONTERIA</t>
  </si>
  <si>
    <t>EE003229</t>
  </si>
  <si>
    <t>EE007793</t>
  </si>
  <si>
    <t>ISTMINA</t>
  </si>
  <si>
    <t>EE003225</t>
  </si>
  <si>
    <t>EE007597</t>
  </si>
  <si>
    <t>EE003408</t>
  </si>
  <si>
    <t>LA MESA</t>
  </si>
  <si>
    <t>EE007585</t>
  </si>
  <si>
    <t>MEDELLIN NORTE</t>
  </si>
  <si>
    <t>EE003416</t>
  </si>
  <si>
    <t>DOSQUEBRADAS</t>
  </si>
  <si>
    <t>EE007738</t>
  </si>
  <si>
    <t>EE003438</t>
  </si>
  <si>
    <t>EE007734</t>
  </si>
  <si>
    <t>TUNJA</t>
  </si>
  <si>
    <t>EE003794</t>
  </si>
  <si>
    <t>EE007722</t>
  </si>
  <si>
    <t>EE003759</t>
  </si>
  <si>
    <t>EE007610</t>
  </si>
  <si>
    <t>EE003810</t>
  </si>
  <si>
    <t>TUQUERRES</t>
  </si>
  <si>
    <t>EE007629</t>
  </si>
  <si>
    <t>EE007595</t>
  </si>
  <si>
    <t>FUSAGASUGA</t>
  </si>
  <si>
    <t>EE004448</t>
  </si>
  <si>
    <t>RIOHACHA</t>
  </si>
  <si>
    <t>EE007796</t>
  </si>
  <si>
    <t>CUCUTA</t>
  </si>
  <si>
    <t>EE004225</t>
  </si>
  <si>
    <t>EE007637</t>
  </si>
  <si>
    <t>SANTA MARTA</t>
  </si>
  <si>
    <t>EE004141</t>
  </si>
  <si>
    <t>EE007465</t>
  </si>
  <si>
    <t>EE004254</t>
  </si>
  <si>
    <t>EE007533</t>
  </si>
  <si>
    <t>EE004294</t>
  </si>
  <si>
    <t>EE007501</t>
  </si>
  <si>
    <t>EE004380</t>
  </si>
  <si>
    <t>GIRARDOT</t>
  </si>
  <si>
    <t>EE007511</t>
  </si>
  <si>
    <t>EE004919</t>
  </si>
  <si>
    <t>EE007635</t>
  </si>
  <si>
    <t>EE005460</t>
  </si>
  <si>
    <t>EE007695</t>
  </si>
  <si>
    <t>ACACIAS</t>
  </si>
  <si>
    <t>EE004969</t>
  </si>
  <si>
    <t>EE007619</t>
  </si>
  <si>
    <t>EE007877</t>
  </si>
  <si>
    <t>EE004983</t>
  </si>
  <si>
    <t>EE008422</t>
  </si>
  <si>
    <t>VELEZ</t>
  </si>
  <si>
    <t>EE004975</t>
  </si>
  <si>
    <t>EE008427</t>
  </si>
  <si>
    <t>EE004985</t>
  </si>
  <si>
    <t>SINCELEJO</t>
  </si>
  <si>
    <t>EE008432</t>
  </si>
  <si>
    <t>EE004979</t>
  </si>
  <si>
    <t>EE008411</t>
  </si>
  <si>
    <t>SAN GIL</t>
  </si>
  <si>
    <t>EE005367</t>
  </si>
  <si>
    <t>EE008467</t>
  </si>
  <si>
    <t>LORICA</t>
  </si>
  <si>
    <t>EE005302</t>
  </si>
  <si>
    <t>EE008443</t>
  </si>
  <si>
    <t>EE005290</t>
  </si>
  <si>
    <t>EE008886</t>
  </si>
  <si>
    <t>EE005246</t>
  </si>
  <si>
    <t>EE009037</t>
  </si>
  <si>
    <t>EE005255</t>
  </si>
  <si>
    <t>EE008908</t>
  </si>
  <si>
    <t>TULUA</t>
  </si>
  <si>
    <t>EE005256</t>
  </si>
  <si>
    <t>EE008885</t>
  </si>
  <si>
    <t>EE005582</t>
  </si>
  <si>
    <t>Quibdó</t>
  </si>
  <si>
    <t>EE008512</t>
  </si>
  <si>
    <t>EE005583</t>
  </si>
  <si>
    <t>EE008487</t>
  </si>
  <si>
    <t>ER005585</t>
  </si>
  <si>
    <t>EE008491</t>
  </si>
  <si>
    <t>EE005596</t>
  </si>
  <si>
    <t>EE008500</t>
  </si>
  <si>
    <t>EE004172</t>
  </si>
  <si>
    <t>EE008516</t>
  </si>
  <si>
    <t>EE005848</t>
  </si>
  <si>
    <t>EE008860</t>
  </si>
  <si>
    <t>EE005962</t>
  </si>
  <si>
    <t>EE009009</t>
  </si>
  <si>
    <t>EE005950</t>
  </si>
  <si>
    <t>EE009390</t>
  </si>
  <si>
    <t>PUERTO BERRIO</t>
  </si>
  <si>
    <t>EE005977</t>
  </si>
  <si>
    <t>EE009398</t>
  </si>
  <si>
    <t>EE006077</t>
  </si>
  <si>
    <t>EE009399</t>
  </si>
  <si>
    <t>EE006358</t>
  </si>
  <si>
    <t>EE009357</t>
  </si>
  <si>
    <t>EE006752</t>
  </si>
  <si>
    <t>EE009341</t>
  </si>
  <si>
    <t>EE006148</t>
  </si>
  <si>
    <t>EE009467</t>
  </si>
  <si>
    <t>BARRANQUILLA</t>
  </si>
  <si>
    <t>EE006200</t>
  </si>
  <si>
    <t>EE009334</t>
  </si>
  <si>
    <t>EE006206</t>
  </si>
  <si>
    <t>EE008783</t>
  </si>
  <si>
    <t>JERICO</t>
  </si>
  <si>
    <t>EE006189</t>
  </si>
  <si>
    <t>EE006137</t>
  </si>
  <si>
    <t>EE006142</t>
  </si>
  <si>
    <t>EE006184</t>
  </si>
  <si>
    <t>EE006239</t>
  </si>
  <si>
    <t>PQRS respondidas a tiempo (15 dìas hàbiles)</t>
  </si>
  <si>
    <t>PQRS respondidas fuera de tiempo (màs de 15 dìas hàbiles)</t>
  </si>
  <si>
    <t>PQRS sin responder</t>
  </si>
  <si>
    <t>Derecho de Peticiòn</t>
  </si>
  <si>
    <t>Queja</t>
  </si>
  <si>
    <t>Solicitud correcciòn</t>
  </si>
  <si>
    <t>Demora tràmite registral</t>
  </si>
  <si>
    <t>Mala prestaciòn del servicio</t>
  </si>
  <si>
    <t>Estado Recursos de apelaciòn</t>
  </si>
  <si>
    <t xml:space="preserve">Notificaciòn </t>
  </si>
  <si>
    <t>Îndice de Propietario</t>
  </si>
  <si>
    <t>ENERO</t>
  </si>
  <si>
    <t xml:space="preserve">RECLAMOS POR CTL EN LINEA, PIN BALOTO Y EFECTY </t>
  </si>
  <si>
    <t>PRESENCIAL</t>
  </si>
  <si>
    <t>TELEFONO</t>
  </si>
  <si>
    <t>OFICINA ATENCIÒN AL CIUDADANO</t>
  </si>
  <si>
    <t xml:space="preserve">PLATAFORMA BOTÒN DE PAGO CTL NO EXPEDIDOS </t>
  </si>
  <si>
    <t>FEBRERO</t>
  </si>
  <si>
    <t>CONSULTA</t>
  </si>
  <si>
    <t>PETICIÒN INFORMATIVA</t>
  </si>
  <si>
    <t>QUEJA</t>
  </si>
  <si>
    <t>RECLAMO</t>
  </si>
  <si>
    <t>SOLICITUD</t>
  </si>
  <si>
    <t xml:space="preserve"> </t>
  </si>
  <si>
    <t xml:space="preserve">MARZO </t>
  </si>
  <si>
    <t>SUPERINTENDENCIA DE NOTARIADO Y REGISTRO</t>
  </si>
  <si>
    <t>FORMATO DE ACCIÓN CORRECTIVA /PREVENTIVA Y DE MEJORA</t>
  </si>
  <si>
    <t>PROCEDIMIENTO ACCIONES CORRECTIVAS- PREVENTIVAS Y DE MEJORA DEL PROCESO  GESTIÓN MECI- CALIDAD.</t>
  </si>
  <si>
    <t>Código: DE-GMC-PR-04-FR-02</t>
  </si>
  <si>
    <t>Versión: 02</t>
  </si>
  <si>
    <t>Página: 1 de 1</t>
  </si>
  <si>
    <t>TRATAMIENTO DE ACCIÓN CORRECTIVA / PREVENTIVAY/O DE MEJORA</t>
  </si>
  <si>
    <t>(1) MACROPROCESO:</t>
  </si>
  <si>
    <t>GESTÓN REGISTRAL</t>
  </si>
  <si>
    <t xml:space="preserve"> (2) PROCESO: </t>
  </si>
  <si>
    <t>GESTIÓN SERVICIO REGISTRAL</t>
  </si>
  <si>
    <t xml:space="preserve">(3) TIPO DE ACCIÓN </t>
  </si>
  <si>
    <t xml:space="preserve">CORRECTIVA </t>
  </si>
  <si>
    <r>
      <t xml:space="preserve">PREVENTIVA </t>
    </r>
    <r>
      <rPr>
        <b/>
        <sz val="9"/>
        <color indexed="14"/>
        <rFont val="Arial"/>
        <family val="2"/>
      </rPr>
      <t>(X)</t>
    </r>
  </si>
  <si>
    <t>MEJORA</t>
  </si>
  <si>
    <t>(4) ACCIÓN No</t>
  </si>
  <si>
    <t>(5) FECHA DE DILIGENCIAMIENTO:</t>
  </si>
  <si>
    <t xml:space="preserve"> (6) ASIGNADO A :</t>
  </si>
  <si>
    <t>(7) FUENTE DE NO CONFORMIDAD</t>
  </si>
  <si>
    <t>Auditoria Interna</t>
  </si>
  <si>
    <t>Producto/Servicio no Conforme</t>
  </si>
  <si>
    <r>
      <t xml:space="preserve">Incumplimiento a las metas de los indicadores de Gestión </t>
    </r>
    <r>
      <rPr>
        <b/>
        <sz val="9"/>
        <color indexed="14"/>
        <rFont val="Arial"/>
        <family val="2"/>
      </rPr>
      <t>(X)</t>
    </r>
  </si>
  <si>
    <t>Resultados Revisiones por la Dirección</t>
  </si>
  <si>
    <t xml:space="preserve">Ocurrecia del  Riesgo  </t>
  </si>
  <si>
    <t>Sugerencias de mejoramiento de los clientes Internos y/o Externos</t>
  </si>
  <si>
    <t>Encuestas de Satisfacción</t>
  </si>
  <si>
    <t>Auditoria Externa</t>
  </si>
  <si>
    <t>Segumiento a los procesos</t>
  </si>
  <si>
    <t xml:space="preserve"> Quejas y Reclamos </t>
  </si>
  <si>
    <t>Otra : Cual ?</t>
  </si>
  <si>
    <t>(8) DESCRIPCIÓN DE LA NO CONFORMIDAD REAL O POTENCIAL ( HALLAZGO- RIESGO- FALLA- PROBLEMA POTENCIAL)</t>
  </si>
  <si>
    <t>(9) ACCIÓN INMEDIATA - CORRECCIÓN</t>
  </si>
  <si>
    <t>(10) TRATAMIENTO: Método de Análisis de Causas</t>
  </si>
  <si>
    <t>(10.1) ANÁLISIS DE LOS 5 POR QUÉS?</t>
  </si>
  <si>
    <t>(10.2) ESPINA DE PESCADO</t>
  </si>
  <si>
    <r>
      <rPr>
        <b/>
        <sz val="9"/>
        <rFont val="Arial"/>
        <family val="2"/>
      </rPr>
      <t>(10.2.1)</t>
    </r>
    <r>
      <rPr>
        <sz val="9"/>
        <rFont val="Arial"/>
        <family val="2"/>
      </rPr>
      <t xml:space="preserve"> CAUSA PROCEDIMIENTOS - MÉTODOS</t>
    </r>
  </si>
  <si>
    <r>
      <rPr>
        <b/>
        <sz val="9"/>
        <rFont val="Arial"/>
        <family val="2"/>
      </rPr>
      <t>(10.2.2)</t>
    </r>
    <r>
      <rPr>
        <sz val="9"/>
        <rFont val="Arial"/>
        <family val="2"/>
      </rPr>
      <t xml:space="preserve"> CAUSA TALENTO HUMANO</t>
    </r>
  </si>
  <si>
    <t>Se presenta incremento en las PQRD en la ORIP Bogotá Zona Centro, debido a la carencia de recursos humanos, técnicos y de infraestructura, ocasionando insatisfacción en el ciudadano.</t>
  </si>
  <si>
    <r>
      <rPr>
        <b/>
        <sz val="9"/>
        <rFont val="Arial"/>
        <family val="2"/>
      </rPr>
      <t>(10.2.3)</t>
    </r>
    <r>
      <rPr>
        <sz val="9"/>
        <rFont val="Arial"/>
        <family val="2"/>
      </rPr>
      <t xml:space="preserve"> CAUSA RECURSOS- INFRAESTRUCTURA- AMBIENTE DE TRABAJO</t>
    </r>
  </si>
  <si>
    <r>
      <rPr>
        <b/>
        <sz val="9"/>
        <rFont val="Arial"/>
        <family val="2"/>
      </rPr>
      <t>(10.2.4)</t>
    </r>
    <r>
      <rPr>
        <sz val="9"/>
        <rFont val="Arial"/>
        <family val="2"/>
      </rPr>
      <t xml:space="preserve"> CAUSA INFORMACIÓN - USUARIOS</t>
    </r>
  </si>
  <si>
    <t>(11) CAUSA DEFINIDA</t>
  </si>
  <si>
    <t xml:space="preserve">(12) PLAN DE ACCIÓN Y SEGUIMIENTO PARA ELIMINAR LAS CAUSAS </t>
  </si>
  <si>
    <t>(12.4)SEGUIMIENTO</t>
  </si>
  <si>
    <r>
      <rPr>
        <b/>
        <sz val="9"/>
        <rFont val="Arial"/>
        <family val="2"/>
      </rPr>
      <t>(12.1)</t>
    </r>
    <r>
      <rPr>
        <sz val="9"/>
        <rFont val="Arial"/>
        <family val="2"/>
      </rPr>
      <t xml:space="preserve">  Acciones / Tareas</t>
    </r>
  </si>
  <si>
    <r>
      <rPr>
        <b/>
        <sz val="9"/>
        <rFont val="Arial"/>
        <family val="2"/>
      </rPr>
      <t xml:space="preserve">(12.2) </t>
    </r>
    <r>
      <rPr>
        <sz val="9"/>
        <rFont val="Arial"/>
        <family val="2"/>
      </rPr>
      <t>Responsable</t>
    </r>
  </si>
  <si>
    <r>
      <rPr>
        <b/>
        <sz val="9"/>
        <rFont val="Arial"/>
        <family val="2"/>
      </rPr>
      <t>(12.3)</t>
    </r>
    <r>
      <rPr>
        <sz val="9"/>
        <rFont val="Arial"/>
        <family val="2"/>
      </rPr>
      <t xml:space="preserve"> Plazo </t>
    </r>
  </si>
  <si>
    <r>
      <rPr>
        <b/>
        <sz val="9"/>
        <rFont val="Arial"/>
        <family val="2"/>
      </rPr>
      <t>(12.4.1)</t>
    </r>
    <r>
      <rPr>
        <sz val="9"/>
        <rFont val="Arial"/>
        <family val="2"/>
      </rPr>
      <t xml:space="preserve"> Fecha </t>
    </r>
  </si>
  <si>
    <t xml:space="preserve">(12.4.2) Comentario </t>
  </si>
  <si>
    <t>(12.4.3)Responsable</t>
  </si>
  <si>
    <r>
      <rPr>
        <b/>
        <sz val="9"/>
        <rFont val="Arial"/>
        <family val="2"/>
      </rPr>
      <t>(13)</t>
    </r>
    <r>
      <rPr>
        <b/>
        <sz val="9"/>
        <rFont val="Arial Narrow"/>
        <family val="2"/>
      </rPr>
      <t xml:space="preserve"> </t>
    </r>
    <r>
      <rPr>
        <sz val="9"/>
        <rFont val="Arial Narrow"/>
        <family val="2"/>
      </rPr>
      <t>¿LA ACCIÓN TOMADA FUE EFICAZ?</t>
    </r>
  </si>
  <si>
    <t>SI</t>
  </si>
  <si>
    <t>NO</t>
  </si>
  <si>
    <r>
      <rPr>
        <b/>
        <sz val="9"/>
        <rFont val="Arial"/>
        <family val="2"/>
      </rPr>
      <t>(14)</t>
    </r>
    <r>
      <rPr>
        <sz val="9"/>
        <rFont val="Arial Narrow"/>
        <family val="2"/>
      </rPr>
      <t xml:space="preserve">  ¿SE CIERRA LA NO CONFORMIDAD?</t>
    </r>
  </si>
  <si>
    <r>
      <rPr>
        <b/>
        <sz val="9"/>
        <color indexed="8"/>
        <rFont val="Arial"/>
        <family val="2"/>
      </rPr>
      <t>(15)</t>
    </r>
    <r>
      <rPr>
        <sz val="9"/>
        <color indexed="8"/>
        <rFont val="Arial"/>
        <family val="2"/>
      </rPr>
      <t xml:space="preserve"> FECHA DE CIERRE</t>
    </r>
  </si>
  <si>
    <r>
      <rPr>
        <b/>
        <sz val="9"/>
        <rFont val="Arial"/>
        <family val="2"/>
      </rPr>
      <t xml:space="preserve">(16) </t>
    </r>
    <r>
      <rPr>
        <sz val="9"/>
        <rFont val="Arial"/>
        <family val="2"/>
      </rPr>
      <t xml:space="preserve"> IMPACTO O MEJORA DE LA ACCIÓN TOMADA</t>
    </r>
  </si>
  <si>
    <r>
      <rPr>
        <b/>
        <sz val="9"/>
        <color indexed="8"/>
        <rFont val="Arial"/>
        <family val="2"/>
      </rPr>
      <t>(17)</t>
    </r>
    <r>
      <rPr>
        <sz val="9"/>
        <color indexed="8"/>
        <rFont val="Arial"/>
        <family val="2"/>
      </rPr>
      <t xml:space="preserve"> Nombre y Firma Responsable de cierre</t>
    </r>
  </si>
  <si>
    <t xml:space="preserve">  </t>
  </si>
  <si>
    <t>CULTURA DEL SERVICIO Y ATENCIÓN AL CIUDADANO</t>
  </si>
  <si>
    <t>OFICINA ATENCIÓN AL CIUDADANO</t>
  </si>
  <si>
    <t>CORRECTIVA</t>
  </si>
  <si>
    <r>
      <t xml:space="preserve">PREVENTIVA   </t>
    </r>
    <r>
      <rPr>
        <b/>
        <sz val="9"/>
        <color indexed="14"/>
        <rFont val="Arial"/>
        <family val="2"/>
      </rPr>
      <t>(X)</t>
    </r>
  </si>
  <si>
    <t xml:space="preserve">MEJORA   </t>
  </si>
  <si>
    <t>11 DE ABRIL DE 2016</t>
  </si>
  <si>
    <t>OSCAR ANDRÈS NÙÑEZ PARRA</t>
  </si>
  <si>
    <t xml:space="preserve"> Quejas y Reclamos</t>
  </si>
  <si>
    <t>• Se evidencia que de los requerimientos direccionados a las dependencias del Nivel Central, para los meses de Enero y Marzo de 2016, el porcentaje de cumplimiento, esta por debajo de la meta del 95%.</t>
  </si>
  <si>
    <t xml:space="preserve">Reiterar la solicitud Generar el reporte de PQRD para determinar las dependencias del Nivel Central que no estàn cumpliento con los tèrminos establecidos en la Ley 1755 de 2015. </t>
  </si>
  <si>
    <t>No se esta llevando el procedimiento "Polìticas y Condiciones para el tràmite de las Modalidades de Peticiòn".</t>
  </si>
  <si>
    <t>Carencia de personal capacitado para el tràmite de las PQRS tanto en las dependencias del Nivel Central como en las ORIP.</t>
  </si>
  <si>
    <t>No se da por parte de los funcionarios de las Dependencias del Nivel Central y ORIP, buena utilizaciòn del aplicativo IRIS Documental, para el cargue de las respuestas de las PQRS.</t>
  </si>
  <si>
    <t>No se esta siguiendo el procedimiento "Polìticas y Condiciones para el tràmite de las Modalidades de Peticiòn" del proceso Desarrollo y Fortalecimiento Institucional para el servicio al ciudadano, tal como esta documentado.</t>
  </si>
  <si>
    <t>Se carece de equipos, scanner para el registro adecuado de las PQRS.</t>
  </si>
  <si>
    <t>Demora en las respuestas de las PQRS</t>
  </si>
  <si>
    <r>
      <rPr>
        <b/>
        <sz val="9"/>
        <rFont val="Arial"/>
        <family val="2"/>
      </rPr>
      <t>(12.4.2)</t>
    </r>
    <r>
      <rPr>
        <sz val="9"/>
        <rFont val="Arial"/>
        <family val="2"/>
      </rPr>
      <t xml:space="preserve"> Comentario </t>
    </r>
  </si>
  <si>
    <t>Reiterar a las Dependencias del Nivel Central por correo electrònico institucional, la solicitud del envìo de las respuestas de PQRS abiertas.</t>
  </si>
  <si>
    <t>Jefe de la Oficina de Atención al Ciudadano</t>
  </si>
  <si>
    <t xml:space="preserve">La Jefatura de la Oficina de Atenciòn al Ciudadano, ha solicitado a travès del canal de comunicaciòn "Correo Electrònico Institucional", la solicitud del envìo de las respuestas de las PQRS abiertas a las dependencias del Nivel Central asì:
* 17/06/2016: Delegada para el Notariado, Delegada de Registro, Delegada de Tierras, Direcciòn Administrativa y Financiera, Direcciòn de Administraciòn Notarial, Contrataciòn, Direcciòn de Talento Humano, Direcciòn de Vigilancia y Control Notarial, Direcciòn Tècnica de Registro, Divulgaciòn, Oficina Asesora de Planeaciòn, </t>
  </si>
  <si>
    <t xml:space="preserve">SI </t>
  </si>
  <si>
    <t>• Se evidencia que de los requerimientos direccionados a las Oficinas de Registro de Instrumentos Pùblicos de la SNR, durante el primer trimestre de 2016, el porcentaje de cumplimiento esta por debajo de la meta del 95%.</t>
  </si>
  <si>
    <t xml:space="preserve">Generar el reporte de PQRD para determinar las Oficinas de Registro de Instrumentos Pùblicos de la SNR, que no estàn cumpliento con los tèrminos establecidos en la Ley 1755 de 2015. </t>
  </si>
  <si>
    <t>No se da por parte de los funcionarios de las Oficinas de Registro de Instrumentos Pùblicos de la SNR, buena utilizaciòn del aplicativo IRIS Documental, para el cargue de las respuestas de las PQRS.</t>
  </si>
  <si>
    <t>Reiterar a las Oficinas de Registro de Instrumentos Pùblicos de la SNR, por correo electrònico institucional, la solicitud del envìo de las respuestas de PQRS abiertas.</t>
  </si>
  <si>
    <t xml:space="preserve">La Jefatura de la Oficina de Atenciòn al Ciudadano, ha solicitado a travès del canal de comunicaciòn "Correo Electrònico Institucional", la solicitud del envìo de las respuestas de las PQRS abiertas a las ORIP asì:
* 20/02/2016: Anserma, Barranquilla, Cali, Bucaramanga, Cartagena.
* 21/03/2016: Cali, Barranquilla.
* 27/03/2016: Ciènaga, Caucasia, Girardot, Guateque, Bogptà Zona Norte, Nuqui,
* 28/03/2016: Acacias, Aguachica, Soacha, Bogotà Zona Sur, Bogotà Zona Norte y Bogotà Zona Centro.
* 29/03/2016: Apartadò y Ayapel.
* 30/03/2016: Chaparral, Chaquira, Cali, Carmen de Bolìvar, Cartagena,Ceretè, Guateque, Girardota, Fusagasuga, Gachèta.
* 31/03/2016: Girardot, Guateque, Ibaguè, La Mesa, Istmina, Manizales, Marinilla, Medellìn Zona Norte, Medellìn Zona Sur, Melgar, Mompox.
* 01/04/2016: Mocoa, Moniquirà, Neiva, Ocaña, Pacho, Pamplona, Pasto, Pereira, Sincelejo, Sabanalarga, Santa Marta, Sitio Nuevo, Monterìa, Piedecuesta, Pitalito, Plato. Popayan, Puerto Asis, Puerto Lòpez, Riohacha, Rionegro, Garzòn, Riosucio, Sahagun, Salazar de las Palmas, San Andrès Isla, San Martìn, Purificaciòn, Santa Marta.
* 04/04/2016: Santa Rosa de Cabal, Santa Rosa de Viterbo, Santander de Quilichao, Segovia, Sincelejo, Sogamoso, Soledad, Tunja, Tùquerres, Valledupar, Vèlez, Santander, Villavicencio, Yopal, Zipaquirà.   </t>
  </si>
  <si>
    <t xml:space="preserve">Adelantar videoconferencia con las Direcciones Regionales sobre la responsabilidad directa de los Registradores de Instrumentos Pùblicos </t>
  </si>
  <si>
    <t>Se realizò videoconferencia el dìa 04 de Abril de 2016, con las cinco (5) Direcciones Regionales, donde se les informò sobre la prioridad de las respuestas a las PQRS que aùn se encuentran abiertas (Enero 2015 a Marzo 2016); Sensibilizaciòn Sede Electrònica Certigestor - Certicàmara; Se les solicitò el listado de los funcionarios que recibiràn capacitaciòn en sede Electrònica (Memorando No.003 del 31 de marzo de 2016) e Inventario de las ORIP con IRIS documental, scanner e impresoras (Oficio IE008504 del 30 de marzo de 2016 dirigido al Secretario General solicitando dotaciòn para las 144 ORIP que aùn no cuentan con IRIS documental y scanner).  Tambièn se les informò sobre la implementaciòn de la Estrategia de Mejoramiento de la Calidad de los Servicios y los Centros Integrados de Servicio - SI - junto con el Programa Nacional de Servicio al Ciudadano.</t>
  </si>
  <si>
    <r>
      <t>SI</t>
    </r>
    <r>
      <rPr>
        <b/>
        <sz val="9"/>
        <color indexed="14"/>
        <rFont val="Arial"/>
        <family val="2"/>
      </rPr>
      <t xml:space="preserve"> (X)</t>
    </r>
  </si>
  <si>
    <t>Las Oficinas de Registro de Instrumentos Pùblicos (Principales y Seccionales), durante el primer trimestre de 2016, dieron respuesta en un 29% dentro de los 15 dìas hàbiles establecidos en la Ley 1755 de 2015.</t>
  </si>
  <si>
    <t>PREVENTIVA</t>
  </si>
  <si>
    <r>
      <t xml:space="preserve">MEJORA </t>
    </r>
    <r>
      <rPr>
        <b/>
        <sz val="10"/>
        <color indexed="14"/>
        <rFont val="Arial"/>
        <family val="2"/>
      </rPr>
      <t xml:space="preserve"> (X)</t>
    </r>
    <r>
      <rPr>
        <b/>
        <sz val="10"/>
        <rFont val="Arial"/>
        <family val="2"/>
      </rPr>
      <t xml:space="preserve">   </t>
    </r>
  </si>
  <si>
    <t>23 DE ABRIL DE 2016</t>
  </si>
  <si>
    <t>Incumplimiento a las metas de los indicadores de Gestión</t>
  </si>
  <si>
    <r>
      <t xml:space="preserve">Encuestas de Satisfacción  </t>
    </r>
    <r>
      <rPr>
        <b/>
        <sz val="9"/>
        <color indexed="14"/>
        <rFont val="Arial"/>
        <family val="2"/>
      </rPr>
      <t>(X)</t>
    </r>
  </si>
  <si>
    <t>Se evidencia incumplimiento de envìo de la tabulaciòn de las encuestas de satisfacciòn por parte de las Oficinas de Registo de Instrumentos Pùblicos, pese a que el resultado del ìndice de satisfacciòn para el primer trimestre de 2016 fue del 95%</t>
  </si>
  <si>
    <t>Elaborar nueva metodologìa de aplicaciòn de encuestas de satisfacciòn, que permitan el envìo oportuno e inmediato por parte de las ORIP del paìs de la SNR.</t>
  </si>
  <si>
    <t>No se esta llevando el procedimiento "Aplicaciòn de las encuestas de satisfacciòn em las ORIP y encuestas de calificaciòn en la Oficina de Atenciòn al Ciudadano".</t>
  </si>
  <si>
    <t>Carencia de personal capacitado para la aplicaciòn de las encuestas de satisfacciòn en las ORIP.</t>
  </si>
  <si>
    <t>No se cuenta con aplicativo que facilite la captura y registro de las encuestas de satisfacciòn.</t>
  </si>
  <si>
    <t>Demora en la entrega de documentos, solicitud de correcciones repetitivas.</t>
  </si>
  <si>
    <t>No se esta siguiendo el procedimiento  "Aplicaciòn de las encuestas de satisfacciòn em las ORIP y encuestas de calificaciòn en la Oficina de Atenciòn al Ciudadano", por carencia de personal y falta de un aplicativo que facilite su captura, registro y consolidaciòn.</t>
  </si>
  <si>
    <t>Actualizaciòn y elaboraciòn del nuevo formato de las Encuestas de Satisfacciòn.</t>
  </si>
  <si>
    <t>Jefe de la Oficina de Atención al Ciudadano y Oficina Asesora de Planeaciòn.</t>
  </si>
  <si>
    <t>El dìa 23 de Abril de 2016, se trabajo en la Oficina Asesora de Planeaciòn en los ajustes del nuevo formato de las Encuestas de Satisfacciòn que se aplicaran en las ORIP, acta de asistencia adjunta.</t>
  </si>
  <si>
    <t>TIPOS DE REQUERIMIENTO</t>
  </si>
  <si>
    <t>Peticiones de Informaciòn</t>
  </si>
  <si>
    <t xml:space="preserve"> (856), de las cuales 711 fueron por expediciòn de CTL en Lìnea a travès de la nueva plataforma, y 145 por PIN Baloto y Efecty</t>
  </si>
  <si>
    <t>Peticiones de Solicitud</t>
  </si>
  <si>
    <t xml:space="preserve">  (1657) por Devoluciòn de Dinero PIN Baloto.</t>
  </si>
  <si>
    <t>Reclamos</t>
  </si>
  <si>
    <t>(1104), de los cuales 558 fueron por reenvìo de CTL en Lìnea y 546 por generación por medio PIN Baloto y Efecty.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</si>
</sst>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0.0"/>
    <numFmt numFmtId="166" formatCode="&quot;$&quot;\ #,##0.00"/>
    <numFmt numFmtId="167" formatCode="[$-1540A]dd\-mmm\-yy;@"/>
    <numFmt numFmtId="168" formatCode="_-* #,##0\ _€_-;\-* #,##0\ _€_-;_-* &quot;-&quot;??\ _€_-;_-@_-"/>
  </numFmts>
  <fonts count="51">
    <font>
      <sz val="10"/>
      <name val="Arial"/>
      <family val="2"/>
    </font>
    <font>
      <sz val="11"/>
      <color indexed="8"/>
      <name val="Calibri"/>
      <family val="2"/>
    </font>
    <font>
      <sz val="10"/>
      <name val="Arial"/>
      <family val="2"/>
    </font>
    <font>
      <sz val="8"/>
      <name val="Calibri"/>
      <family val="2"/>
    </font>
    <font>
      <b/>
      <i/>
      <sz val="8"/>
      <name val="Calibri"/>
      <family val="2"/>
    </font>
    <font>
      <b/>
      <sz val="8"/>
      <name val="Calibri"/>
      <family val="2"/>
    </font>
    <font>
      <b/>
      <i/>
      <sz val="8"/>
      <color indexed="8"/>
      <name val="Calibri"/>
      <family val="2"/>
    </font>
    <font>
      <b/>
      <sz val="8"/>
      <color indexed="8"/>
      <name val="Calibri"/>
      <family val="2"/>
    </font>
    <font>
      <b/>
      <sz val="10"/>
      <name val="Arial"/>
      <family val="2"/>
    </font>
    <font>
      <sz val="8"/>
      <color indexed="8"/>
      <name val="Calibri"/>
      <family val="2"/>
    </font>
    <font>
      <sz val="8"/>
      <name val="Arial"/>
      <family val="2"/>
    </font>
    <font>
      <b/>
      <sz val="8"/>
      <name val="Arial"/>
      <family val="2"/>
    </font>
    <font>
      <sz val="9"/>
      <color indexed="8"/>
      <name val="Arial"/>
      <family val="2"/>
    </font>
    <font>
      <b/>
      <sz val="9"/>
      <name val="Arial"/>
      <family val="2"/>
    </font>
    <font>
      <b/>
      <sz val="9"/>
      <color indexed="14"/>
      <name val="Arial"/>
      <family val="2"/>
    </font>
    <font>
      <sz val="9"/>
      <name val="Arial"/>
      <family val="2"/>
    </font>
    <font>
      <sz val="9"/>
      <name val="Arial Narrow"/>
      <family val="2"/>
    </font>
    <font>
      <b/>
      <sz val="9"/>
      <name val="Arial Narrow"/>
      <family val="2"/>
    </font>
    <font>
      <b/>
      <sz val="9"/>
      <color indexed="8"/>
      <name val="Arial"/>
      <family val="2"/>
    </font>
    <font>
      <sz val="8"/>
      <color indexed="81"/>
      <name val="Arial"/>
      <family val="2"/>
    </font>
    <font>
      <sz val="9"/>
      <color indexed="81"/>
      <name val="Tahoma"/>
      <family val="2"/>
    </font>
    <font>
      <b/>
      <sz val="9"/>
      <color indexed="81"/>
      <name val="Tahoma"/>
      <family val="2"/>
    </font>
    <font>
      <sz val="8"/>
      <color indexed="81"/>
      <name val="Tahoma"/>
      <family val="2"/>
    </font>
    <font>
      <b/>
      <sz val="10"/>
      <color indexed="14"/>
      <name val="Arial"/>
      <family val="2"/>
    </font>
    <font>
      <b/>
      <sz val="11"/>
      <color theme="1"/>
      <name val="Calibri"/>
      <family val="2"/>
      <scheme val="minor"/>
    </font>
    <font>
      <sz val="10"/>
      <name val="Calibri"/>
      <family val="2"/>
      <scheme val="minor"/>
    </font>
    <font>
      <sz val="10"/>
      <color theme="1"/>
      <name val="Calibri"/>
      <family val="2"/>
      <scheme val="minor"/>
    </font>
    <font>
      <sz val="10"/>
      <color indexed="8"/>
      <name val="Calibri"/>
      <family val="2"/>
      <scheme val="minor"/>
    </font>
    <font>
      <b/>
      <i/>
      <sz val="18"/>
      <name val="Calibri"/>
      <family val="2"/>
      <scheme val="minor"/>
    </font>
    <font>
      <sz val="8"/>
      <color indexed="8"/>
      <name val="Calibri"/>
      <family val="2"/>
      <scheme val="minor"/>
    </font>
    <font>
      <sz val="8"/>
      <name val="Calibri"/>
      <family val="2"/>
      <scheme val="minor"/>
    </font>
    <font>
      <b/>
      <sz val="10"/>
      <color theme="0"/>
      <name val="Calibri"/>
      <family val="2"/>
      <scheme val="minor"/>
    </font>
    <font>
      <b/>
      <sz val="10"/>
      <color rgb="FFFFFFFF"/>
      <name val="Calibri"/>
      <family val="2"/>
    </font>
    <font>
      <b/>
      <i/>
      <sz val="10"/>
      <name val="Calibri"/>
      <family val="2"/>
      <scheme val="minor"/>
    </font>
    <font>
      <i/>
      <sz val="10"/>
      <color theme="1"/>
      <name val="Calibri"/>
      <family val="2"/>
      <scheme val="minor"/>
    </font>
    <font>
      <sz val="8"/>
      <color theme="1"/>
      <name val="Calibri"/>
      <family val="2"/>
      <scheme val="minor"/>
    </font>
    <font>
      <b/>
      <sz val="10"/>
      <name val="Calibri"/>
      <family val="2"/>
      <scheme val="minor"/>
    </font>
    <font>
      <b/>
      <sz val="10"/>
      <color rgb="FFFF0000"/>
      <name val="Calibri"/>
      <family val="2"/>
      <scheme val="minor"/>
    </font>
    <font>
      <b/>
      <sz val="10"/>
      <color indexed="8"/>
      <name val="Calibri"/>
      <family val="2"/>
      <scheme val="minor"/>
    </font>
    <font>
      <sz val="10"/>
      <color rgb="FFFF0000"/>
      <name val="Calibri"/>
      <family val="2"/>
      <scheme val="minor"/>
    </font>
    <font>
      <b/>
      <sz val="10"/>
      <color theme="0"/>
      <name val="Arial"/>
      <family val="2"/>
    </font>
    <font>
      <sz val="10"/>
      <color theme="0"/>
      <name val="Arial"/>
      <family val="2"/>
    </font>
    <font>
      <sz val="9"/>
      <color theme="0"/>
      <name val="Arial"/>
      <family val="2"/>
    </font>
    <font>
      <b/>
      <sz val="9"/>
      <color theme="0"/>
      <name val="Arial"/>
      <family val="2"/>
    </font>
    <font>
      <sz val="8"/>
      <color rgb="FF000000"/>
      <name val="Calibri"/>
      <family val="2"/>
    </font>
    <font>
      <b/>
      <sz val="8"/>
      <color theme="0"/>
      <name val="Arial"/>
      <family val="2"/>
    </font>
    <font>
      <sz val="9"/>
      <color theme="1"/>
      <name val="Arial"/>
      <family val="2"/>
    </font>
    <font>
      <b/>
      <i/>
      <sz val="10"/>
      <color theme="1"/>
      <name val="Calibri"/>
      <family val="2"/>
      <scheme val="minor"/>
    </font>
    <font>
      <b/>
      <sz val="10"/>
      <color theme="1"/>
      <name val="Calibri"/>
      <family val="2"/>
      <scheme val="minor"/>
    </font>
    <font>
      <b/>
      <i/>
      <sz val="18"/>
      <color theme="1"/>
      <name val="Calibri"/>
      <family val="2"/>
      <scheme val="minor"/>
    </font>
    <font>
      <b/>
      <sz val="10"/>
      <color rgb="FFE84B2C"/>
      <name val="Arial"/>
      <family val="2"/>
    </font>
  </fonts>
  <fills count="15">
    <fill>
      <patternFill patternType="none"/>
    </fill>
    <fill>
      <patternFill patternType="gray125"/>
    </fill>
    <fill>
      <patternFill patternType="solid">
        <fgColor indexed="22"/>
        <bgColor indexed="64"/>
      </patternFill>
    </fill>
    <fill>
      <patternFill patternType="gray0625">
        <fgColor theme="3" tint="0.79998168889431442"/>
        <bgColor theme="0" tint="-4.9989318521683403E-2"/>
      </patternFill>
    </fill>
    <fill>
      <patternFill patternType="solid">
        <fgColor theme="0"/>
        <bgColor indexed="64"/>
      </patternFill>
    </fill>
    <fill>
      <patternFill patternType="solid">
        <fgColor theme="4" tint="0.79998168889431442"/>
        <bgColor indexed="64"/>
      </patternFill>
    </fill>
    <fill>
      <patternFill patternType="solid">
        <fgColor rgb="FFC00000"/>
        <bgColor indexed="64"/>
      </patternFill>
    </fill>
    <fill>
      <patternFill patternType="solid">
        <fgColor theme="5" tint="0.79998168889431442"/>
        <bgColor indexed="64"/>
      </patternFill>
    </fill>
    <fill>
      <patternFill patternType="solid">
        <fgColor rgb="FFFFFF00"/>
        <bgColor indexed="64"/>
      </patternFill>
    </fill>
    <fill>
      <patternFill patternType="solid">
        <fgColor rgb="FFFF0000"/>
        <bgColor indexed="64"/>
      </patternFill>
    </fill>
    <fill>
      <patternFill patternType="solid">
        <fgColor theme="0"/>
        <bgColor theme="0" tint="-0.14999847407452621"/>
      </patternFill>
    </fill>
    <fill>
      <patternFill patternType="solid">
        <fgColor rgb="FF92D05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s>
  <borders count="62">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right/>
      <top/>
      <bottom style="double">
        <color indexed="64"/>
      </bottom>
      <diagonal/>
    </border>
    <border>
      <left/>
      <right/>
      <top/>
      <bottom style="thin">
        <color indexed="64"/>
      </bottom>
      <diagonal/>
    </border>
    <border>
      <left style="medium">
        <color indexed="64"/>
      </left>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diagonalDown="1">
      <left/>
      <right/>
      <top style="thin">
        <color indexed="64"/>
      </top>
      <bottom/>
      <diagonal style="double">
        <color indexed="64"/>
      </diagonal>
    </border>
    <border diagonalDown="1">
      <left/>
      <right/>
      <top/>
      <bottom/>
      <diagonal style="double">
        <color indexed="64"/>
      </diagonal>
    </border>
    <border diagonalDown="1">
      <left/>
      <right/>
      <top/>
      <bottom style="double">
        <color indexed="64"/>
      </bottom>
      <diagonal style="double">
        <color indexed="64"/>
      </diagonal>
    </border>
    <border diagonalUp="1">
      <left/>
      <right/>
      <top/>
      <bottom/>
      <diagonal style="double">
        <color indexed="64"/>
      </diagonal>
    </border>
    <border diagonalUp="1">
      <left/>
      <right/>
      <top style="double">
        <color indexed="64"/>
      </top>
      <bottom/>
      <diagonal style="double">
        <color indexed="64"/>
      </diagonal>
    </border>
  </borders>
  <cellStyleXfs count="4">
    <xf numFmtId="0" fontId="0" fillId="0" borderId="0">
      <alignment vertical="center"/>
    </xf>
    <xf numFmtId="164" fontId="2" fillId="0" borderId="0" applyFont="0" applyFill="0" applyBorder="0" applyAlignment="0" applyProtection="0"/>
    <xf numFmtId="0" fontId="1" fillId="0" borderId="0"/>
    <xf numFmtId="9" fontId="2" fillId="0" borderId="0" applyFont="0" applyFill="0" applyBorder="0" applyAlignment="0" applyProtection="0"/>
  </cellStyleXfs>
  <cellXfs count="495">
    <xf numFmtId="0" fontId="0" fillId="0" borderId="0" xfId="0">
      <alignment vertical="center"/>
    </xf>
    <xf numFmtId="0" fontId="25" fillId="0" borderId="0" xfId="0" applyFont="1">
      <alignment vertical="center"/>
    </xf>
    <xf numFmtId="0" fontId="26" fillId="3" borderId="0" xfId="0" applyFont="1" applyFill="1" applyAlignment="1"/>
    <xf numFmtId="0" fontId="26" fillId="3" borderId="0" xfId="0" applyFont="1" applyFill="1" applyAlignment="1">
      <alignment wrapText="1"/>
    </xf>
    <xf numFmtId="0" fontId="26" fillId="3" borderId="0" xfId="0" applyFont="1" applyFill="1" applyAlignment="1">
      <alignment horizontal="left"/>
    </xf>
    <xf numFmtId="0" fontId="25" fillId="4" borderId="1" xfId="0" applyFont="1" applyFill="1" applyBorder="1" applyAlignment="1"/>
    <xf numFmtId="0" fontId="26" fillId="4" borderId="2" xfId="0" applyFont="1" applyFill="1" applyBorder="1" applyAlignment="1"/>
    <xf numFmtId="0" fontId="26" fillId="0" borderId="2" xfId="0" applyFont="1" applyBorder="1" applyAlignment="1">
      <alignment horizontal="left"/>
    </xf>
    <xf numFmtId="0" fontId="25" fillId="4" borderId="3" xfId="0" applyFont="1" applyFill="1" applyBorder="1" applyAlignment="1">
      <alignment horizontal="left"/>
    </xf>
    <xf numFmtId="0" fontId="25" fillId="4" borderId="0" xfId="0" applyFont="1" applyFill="1" applyAlignment="1">
      <alignment horizontal="left"/>
    </xf>
    <xf numFmtId="0" fontId="26" fillId="0" borderId="0" xfId="0" applyFont="1" applyAlignment="1"/>
    <xf numFmtId="0" fontId="26" fillId="0" borderId="0" xfId="0" applyFont="1" applyAlignment="1">
      <alignment horizontal="left"/>
    </xf>
    <xf numFmtId="0" fontId="26" fillId="4" borderId="0" xfId="0" applyFont="1" applyFill="1" applyAlignment="1"/>
    <xf numFmtId="0" fontId="25" fillId="4" borderId="3" xfId="0" applyFont="1" applyFill="1" applyBorder="1" applyAlignment="1"/>
    <xf numFmtId="0" fontId="25" fillId="4" borderId="0" xfId="0" applyFont="1" applyFill="1" applyAlignment="1"/>
    <xf numFmtId="0" fontId="27" fillId="0" borderId="0" xfId="0" applyFont="1" applyAlignment="1">
      <alignment horizontal="center" vertical="center" wrapText="1"/>
    </xf>
    <xf numFmtId="0" fontId="26" fillId="4" borderId="2" xfId="0" applyFont="1" applyFill="1" applyBorder="1" applyAlignment="1">
      <alignment horizontal="left"/>
    </xf>
    <xf numFmtId="0" fontId="26" fillId="4" borderId="0" xfId="0" applyFont="1" applyFill="1" applyAlignment="1">
      <alignment horizontal="left"/>
    </xf>
    <xf numFmtId="0" fontId="25" fillId="4" borderId="2" xfId="0" applyFont="1" applyFill="1" applyBorder="1" applyAlignment="1"/>
    <xf numFmtId="0" fontId="28" fillId="4" borderId="4" xfId="0" applyFont="1" applyFill="1" applyBorder="1" applyAlignment="1"/>
    <xf numFmtId="0" fontId="29" fillId="5" borderId="5" xfId="0" applyFont="1" applyFill="1" applyBorder="1" applyAlignment="1">
      <alignment horizontal="center" vertical="center" wrapText="1"/>
    </xf>
    <xf numFmtId="0" fontId="30" fillId="0" borderId="0" xfId="0" applyFont="1" applyAlignment="1">
      <alignment vertical="center" wrapText="1"/>
    </xf>
    <xf numFmtId="0" fontId="29" fillId="5" borderId="5" xfId="0" applyFont="1" applyFill="1" applyBorder="1" applyAlignment="1">
      <alignment horizontal="left" vertical="center" wrapText="1"/>
    </xf>
    <xf numFmtId="14" fontId="26" fillId="4" borderId="0" xfId="0" applyNumberFormat="1" applyFont="1" applyFill="1" applyAlignment="1">
      <alignment horizontal="left"/>
    </xf>
    <xf numFmtId="0" fontId="26" fillId="4" borderId="6" xfId="0" applyFont="1" applyFill="1" applyBorder="1" applyAlignment="1"/>
    <xf numFmtId="0" fontId="26" fillId="4" borderId="7" xfId="0" applyFont="1" applyFill="1" applyBorder="1" applyAlignment="1"/>
    <xf numFmtId="0" fontId="26" fillId="4" borderId="4" xfId="0" applyFont="1" applyFill="1" applyBorder="1" applyAlignment="1"/>
    <xf numFmtId="0" fontId="26" fillId="4" borderId="8" xfId="0" applyFont="1" applyFill="1" applyBorder="1" applyAlignment="1"/>
    <xf numFmtId="0" fontId="29" fillId="5" borderId="9" xfId="0" applyFont="1" applyFill="1" applyBorder="1" applyAlignment="1">
      <alignment horizontal="left" vertical="center" wrapText="1"/>
    </xf>
    <xf numFmtId="0" fontId="29" fillId="5" borderId="9" xfId="0" applyFont="1" applyFill="1" applyBorder="1" applyAlignment="1">
      <alignment horizontal="center" vertical="center" wrapText="1"/>
    </xf>
    <xf numFmtId="0" fontId="26" fillId="3" borderId="0" xfId="0" applyFont="1" applyFill="1" applyAlignment="1">
      <alignment horizontal="center"/>
    </xf>
    <xf numFmtId="0" fontId="26" fillId="4" borderId="2" xfId="0" applyFont="1" applyFill="1" applyBorder="1" applyAlignment="1">
      <alignment horizontal="center"/>
    </xf>
    <xf numFmtId="0" fontId="26" fillId="4" borderId="0" xfId="0" applyFont="1" applyFill="1" applyAlignment="1">
      <alignment horizontal="center"/>
    </xf>
    <xf numFmtId="0" fontId="28" fillId="4" borderId="4" xfId="0" applyFont="1" applyFill="1" applyBorder="1" applyAlignment="1">
      <alignment horizontal="center"/>
    </xf>
    <xf numFmtId="9" fontId="29" fillId="5" borderId="9" xfId="0" applyNumberFormat="1" applyFont="1" applyFill="1" applyBorder="1" applyAlignment="1">
      <alignment horizontal="center" vertical="center" wrapText="1"/>
    </xf>
    <xf numFmtId="0" fontId="25" fillId="0" borderId="0" xfId="0" applyFont="1" applyAlignment="1">
      <alignment horizontal="center" vertical="center"/>
    </xf>
    <xf numFmtId="0" fontId="31" fillId="6" borderId="5" xfId="0" applyFont="1" applyFill="1" applyBorder="1" applyAlignment="1">
      <alignment horizontal="center" vertical="center" wrapText="1"/>
    </xf>
    <xf numFmtId="0" fontId="32" fillId="6" borderId="5" xfId="0" applyFont="1" applyFill="1" applyBorder="1" applyAlignment="1">
      <alignment horizontal="center" vertical="center" wrapText="1"/>
    </xf>
    <xf numFmtId="0" fontId="26" fillId="0" borderId="4" xfId="0" applyFont="1" applyBorder="1" applyAlignment="1"/>
    <xf numFmtId="0" fontId="25" fillId="0" borderId="0" xfId="0" applyFont="1" applyAlignment="1"/>
    <xf numFmtId="0" fontId="25" fillId="0" borderId="0" xfId="0" applyFont="1" applyAlignment="1">
      <alignment horizontal="left"/>
    </xf>
    <xf numFmtId="0" fontId="29" fillId="5" borderId="10" xfId="0" applyFont="1" applyFill="1" applyBorder="1" applyAlignment="1">
      <alignment horizontal="left" vertical="center" wrapText="1"/>
    </xf>
    <xf numFmtId="0" fontId="29" fillId="5" borderId="11" xfId="0" applyFont="1" applyFill="1" applyBorder="1" applyAlignment="1">
      <alignment horizontal="left" vertical="center" wrapText="1"/>
    </xf>
    <xf numFmtId="0" fontId="29" fillId="5" borderId="12" xfId="0" applyFont="1" applyFill="1" applyBorder="1" applyAlignment="1">
      <alignment horizontal="left" vertical="center" wrapText="1"/>
    </xf>
    <xf numFmtId="0" fontId="31" fillId="6" borderId="10" xfId="0" applyFont="1" applyFill="1" applyBorder="1" applyAlignment="1">
      <alignment horizontal="center" vertical="center" wrapText="1"/>
    </xf>
    <xf numFmtId="0" fontId="31" fillId="6" borderId="13" xfId="0" applyFont="1" applyFill="1" applyBorder="1" applyAlignment="1">
      <alignment horizontal="center" vertical="center" wrapText="1"/>
    </xf>
    <xf numFmtId="14" fontId="26" fillId="0" borderId="0" xfId="0" applyNumberFormat="1" applyFont="1" applyAlignment="1">
      <alignment horizontal="left"/>
    </xf>
    <xf numFmtId="0" fontId="25" fillId="0" borderId="2" xfId="0" applyFont="1" applyBorder="1" applyAlignment="1"/>
    <xf numFmtId="0" fontId="28" fillId="4" borderId="14" xfId="0" applyFont="1" applyFill="1" applyBorder="1" applyAlignment="1"/>
    <xf numFmtId="0" fontId="28" fillId="0" borderId="4" xfId="0" applyFont="1" applyBorder="1" applyAlignment="1"/>
    <xf numFmtId="0" fontId="29" fillId="5" borderId="11" xfId="0" applyFont="1" applyFill="1" applyBorder="1" applyAlignment="1">
      <alignment horizontal="center" vertical="center" wrapText="1"/>
    </xf>
    <xf numFmtId="0" fontId="29" fillId="5" borderId="12" xfId="0" applyFont="1" applyFill="1" applyBorder="1" applyAlignment="1">
      <alignment horizontal="center" vertical="center" wrapText="1"/>
    </xf>
    <xf numFmtId="0" fontId="25" fillId="4" borderId="2" xfId="0" applyFont="1" applyFill="1" applyBorder="1" applyAlignment="1">
      <alignment horizontal="left"/>
    </xf>
    <xf numFmtId="0" fontId="28" fillId="4" borderId="4" xfId="0" applyFont="1" applyFill="1" applyBorder="1" applyAlignment="1">
      <alignment horizontal="left"/>
    </xf>
    <xf numFmtId="0" fontId="25" fillId="0" borderId="0" xfId="0" applyFont="1" applyAlignment="1">
      <alignment horizontal="left" vertical="center"/>
    </xf>
    <xf numFmtId="0" fontId="26" fillId="3" borderId="0" xfId="0" applyFont="1" applyFill="1" applyAlignment="1">
      <alignment horizontal="center" vertical="center"/>
    </xf>
    <xf numFmtId="0" fontId="26" fillId="4" borderId="2" xfId="0" applyFont="1" applyFill="1" applyBorder="1" applyAlignment="1">
      <alignment horizontal="center" vertical="center"/>
    </xf>
    <xf numFmtId="0" fontId="26" fillId="0" borderId="0" xfId="0" applyFont="1" applyAlignment="1">
      <alignment horizontal="center" vertical="center"/>
    </xf>
    <xf numFmtId="0" fontId="26" fillId="4" borderId="0" xfId="0" applyFont="1" applyFill="1" applyAlignment="1">
      <alignment horizontal="center" vertical="center"/>
    </xf>
    <xf numFmtId="0" fontId="29" fillId="7" borderId="9" xfId="0" applyFont="1" applyFill="1" applyBorder="1" applyAlignment="1">
      <alignment horizontal="center" vertical="center" wrapText="1"/>
    </xf>
    <xf numFmtId="0" fontId="29" fillId="7" borderId="9" xfId="0" applyFont="1" applyFill="1" applyBorder="1" applyAlignment="1">
      <alignment horizontal="left" vertical="center" wrapText="1"/>
    </xf>
    <xf numFmtId="0" fontId="29" fillId="7" borderId="12" xfId="0" applyFont="1" applyFill="1" applyBorder="1" applyAlignment="1">
      <alignment horizontal="left" vertical="center" wrapText="1"/>
    </xf>
    <xf numFmtId="0" fontId="29" fillId="7" borderId="5" xfId="0" applyFont="1" applyFill="1" applyBorder="1" applyAlignment="1">
      <alignment horizontal="left" vertical="center" wrapText="1"/>
    </xf>
    <xf numFmtId="0" fontId="29" fillId="7" borderId="5" xfId="0" applyFont="1" applyFill="1" applyBorder="1" applyAlignment="1">
      <alignment horizontal="center" vertical="center" wrapText="1"/>
    </xf>
    <xf numFmtId="0" fontId="29" fillId="7" borderId="12" xfId="0" applyFont="1" applyFill="1" applyBorder="1" applyAlignment="1">
      <alignment horizontal="center" vertical="center" wrapText="1"/>
    </xf>
    <xf numFmtId="9" fontId="29" fillId="7" borderId="9" xfId="0" applyNumberFormat="1" applyFont="1" applyFill="1" applyBorder="1" applyAlignment="1">
      <alignment horizontal="center" vertical="center" wrapText="1"/>
    </xf>
    <xf numFmtId="0" fontId="27" fillId="7" borderId="11" xfId="0" applyFont="1" applyFill="1" applyBorder="1" applyAlignment="1">
      <alignment horizontal="center" vertical="center" wrapText="1"/>
    </xf>
    <xf numFmtId="0" fontId="27" fillId="7" borderId="9" xfId="0" applyFont="1" applyFill="1" applyBorder="1" applyAlignment="1">
      <alignment horizontal="center" vertical="center" wrapText="1"/>
    </xf>
    <xf numFmtId="0" fontId="27" fillId="7" borderId="12" xfId="0" applyFont="1" applyFill="1" applyBorder="1" applyAlignment="1">
      <alignment horizontal="center" vertical="center" wrapText="1"/>
    </xf>
    <xf numFmtId="0" fontId="30" fillId="7" borderId="11" xfId="0" applyFont="1" applyFill="1" applyBorder="1" applyAlignment="1">
      <alignment vertical="center" wrapText="1"/>
    </xf>
    <xf numFmtId="0" fontId="30" fillId="7" borderId="9" xfId="0" applyFont="1" applyFill="1" applyBorder="1" applyAlignment="1">
      <alignment vertical="center" wrapText="1"/>
    </xf>
    <xf numFmtId="0" fontId="30" fillId="7" borderId="9" xfId="0" applyFont="1" applyFill="1" applyBorder="1" applyAlignment="1">
      <alignment horizontal="left" vertical="center" wrapText="1"/>
    </xf>
    <xf numFmtId="0" fontId="30" fillId="7" borderId="12" xfId="0" applyFont="1" applyFill="1" applyBorder="1" applyAlignment="1">
      <alignment horizontal="left" vertical="center" wrapText="1"/>
    </xf>
    <xf numFmtId="0" fontId="30" fillId="7" borderId="9" xfId="0" applyFont="1" applyFill="1" applyBorder="1" applyAlignment="1">
      <alignment horizontal="center" vertical="center" wrapText="1"/>
    </xf>
    <xf numFmtId="9" fontId="30" fillId="7" borderId="9" xfId="0" applyNumberFormat="1" applyFont="1" applyFill="1" applyBorder="1" applyAlignment="1">
      <alignment horizontal="center" vertical="center" wrapText="1"/>
    </xf>
    <xf numFmtId="0" fontId="30" fillId="7" borderId="12" xfId="0" applyFont="1" applyFill="1" applyBorder="1" applyAlignment="1">
      <alignment vertical="center" wrapText="1"/>
    </xf>
    <xf numFmtId="0" fontId="30" fillId="5" borderId="11" xfId="0" applyFont="1" applyFill="1" applyBorder="1" applyAlignment="1">
      <alignment vertical="center" wrapText="1"/>
    </xf>
    <xf numFmtId="0" fontId="30" fillId="5" borderId="9" xfId="0" applyFont="1" applyFill="1" applyBorder="1" applyAlignment="1">
      <alignment vertical="center" wrapText="1"/>
    </xf>
    <xf numFmtId="0" fontId="30" fillId="5" borderId="9" xfId="0" applyFont="1" applyFill="1" applyBorder="1" applyAlignment="1">
      <alignment horizontal="left" vertical="center" wrapText="1"/>
    </xf>
    <xf numFmtId="0" fontId="30" fillId="5" borderId="12" xfId="0" applyFont="1" applyFill="1" applyBorder="1" applyAlignment="1">
      <alignment horizontal="left" vertical="center" wrapText="1"/>
    </xf>
    <xf numFmtId="0" fontId="30" fillId="5" borderId="9" xfId="0" applyFont="1" applyFill="1" applyBorder="1" applyAlignment="1">
      <alignment horizontal="center" vertical="center" wrapText="1"/>
    </xf>
    <xf numFmtId="0" fontId="30" fillId="5" borderId="12" xfId="0" applyFont="1" applyFill="1" applyBorder="1" applyAlignment="1">
      <alignment vertical="center" wrapText="1"/>
    </xf>
    <xf numFmtId="0" fontId="29" fillId="7" borderId="11" xfId="0" applyFont="1" applyFill="1" applyBorder="1" applyAlignment="1">
      <alignment horizontal="left" vertical="center" wrapText="1"/>
    </xf>
    <xf numFmtId="0" fontId="29" fillId="7" borderId="10" xfId="0" applyFont="1" applyFill="1" applyBorder="1" applyAlignment="1">
      <alignment horizontal="left" vertical="center" wrapText="1"/>
    </xf>
    <xf numFmtId="0" fontId="30" fillId="5" borderId="10" xfId="0" applyFont="1" applyFill="1" applyBorder="1" applyAlignment="1">
      <alignment vertical="center" wrapText="1"/>
    </xf>
    <xf numFmtId="0" fontId="30" fillId="5" borderId="5" xfId="0" applyFont="1" applyFill="1" applyBorder="1" applyAlignment="1">
      <alignment vertical="center" wrapText="1"/>
    </xf>
    <xf numFmtId="0" fontId="30" fillId="7" borderId="5" xfId="0" applyFont="1" applyFill="1" applyBorder="1" applyAlignment="1">
      <alignment vertical="center" wrapText="1"/>
    </xf>
    <xf numFmtId="0" fontId="30" fillId="5" borderId="5" xfId="0" applyFont="1" applyFill="1" applyBorder="1" applyAlignment="1">
      <alignment horizontal="center" vertical="center" wrapText="1"/>
    </xf>
    <xf numFmtId="0" fontId="30" fillId="7" borderId="5" xfId="0" applyFont="1" applyFill="1" applyBorder="1" applyAlignment="1">
      <alignment horizontal="center" vertical="center" wrapText="1"/>
    </xf>
    <xf numFmtId="9" fontId="29" fillId="7" borderId="5" xfId="0" applyNumberFormat="1" applyFont="1" applyFill="1" applyBorder="1" applyAlignment="1">
      <alignment horizontal="center" vertical="center" wrapText="1"/>
    </xf>
    <xf numFmtId="0" fontId="29" fillId="7" borderId="13" xfId="0" applyFont="1" applyFill="1" applyBorder="1" applyAlignment="1">
      <alignment horizontal="left" vertical="center" wrapText="1"/>
    </xf>
    <xf numFmtId="0" fontId="30" fillId="5" borderId="13" xfId="0" applyFont="1" applyFill="1" applyBorder="1" applyAlignment="1">
      <alignment vertical="center" wrapText="1"/>
    </xf>
    <xf numFmtId="0" fontId="26" fillId="0" borderId="0" xfId="0" applyFont="1" applyAlignment="1">
      <alignment horizontal="center"/>
    </xf>
    <xf numFmtId="9" fontId="29" fillId="5" borderId="11" xfId="3" applyFont="1" applyFill="1" applyBorder="1" applyAlignment="1">
      <alignment horizontal="left" vertical="center" wrapText="1"/>
    </xf>
    <xf numFmtId="0" fontId="30" fillId="7" borderId="11" xfId="0" applyFont="1" applyFill="1" applyBorder="1" applyAlignment="1">
      <alignment horizontal="left" vertical="center" wrapText="1"/>
    </xf>
    <xf numFmtId="0" fontId="30" fillId="5" borderId="5" xfId="0" applyFont="1" applyFill="1" applyBorder="1" applyAlignment="1">
      <alignment horizontal="left" vertical="center" wrapText="1"/>
    </xf>
    <xf numFmtId="165" fontId="29" fillId="7" borderId="9" xfId="3" applyNumberFormat="1" applyFont="1" applyFill="1" applyBorder="1" applyAlignment="1">
      <alignment horizontal="center" vertical="center" wrapText="1"/>
    </xf>
    <xf numFmtId="9" fontId="29" fillId="7" borderId="9" xfId="3" applyFont="1" applyFill="1" applyBorder="1" applyAlignment="1">
      <alignment horizontal="center" vertical="center" wrapText="1"/>
    </xf>
    <xf numFmtId="0" fontId="29" fillId="5" borderId="9" xfId="0" applyFont="1" applyFill="1" applyBorder="1" applyAlignment="1">
      <alignment vertical="center" wrapText="1"/>
    </xf>
    <xf numFmtId="9" fontId="30" fillId="5" borderId="5" xfId="3" applyFont="1" applyFill="1" applyBorder="1" applyAlignment="1">
      <alignment horizontal="center" vertical="center" wrapText="1"/>
    </xf>
    <xf numFmtId="9" fontId="30" fillId="5" borderId="9" xfId="3" applyFont="1" applyFill="1" applyBorder="1" applyAlignment="1">
      <alignment horizontal="center" vertical="center" wrapText="1"/>
    </xf>
    <xf numFmtId="9" fontId="29" fillId="5" borderId="9" xfId="3" applyFont="1" applyFill="1" applyBorder="1" applyAlignment="1">
      <alignment horizontal="center" vertical="center" wrapText="1"/>
    </xf>
    <xf numFmtId="0" fontId="29" fillId="8" borderId="9" xfId="0" applyFont="1" applyFill="1" applyBorder="1" applyAlignment="1">
      <alignment horizontal="center" vertical="center" wrapText="1"/>
    </xf>
    <xf numFmtId="0" fontId="29" fillId="8" borderId="9" xfId="0" applyFont="1" applyFill="1" applyBorder="1" applyAlignment="1">
      <alignment horizontal="left" vertical="center" wrapText="1"/>
    </xf>
    <xf numFmtId="0" fontId="29" fillId="5" borderId="15" xfId="0" applyFont="1" applyFill="1" applyBorder="1" applyAlignment="1">
      <alignment horizontal="left" vertical="center" wrapText="1"/>
    </xf>
    <xf numFmtId="0" fontId="28" fillId="4" borderId="4" xfId="0" applyFont="1" applyFill="1" applyBorder="1" applyAlignment="1">
      <alignment horizontal="center" vertical="center"/>
    </xf>
    <xf numFmtId="166" fontId="26" fillId="4" borderId="0" xfId="0" applyNumberFormat="1" applyFont="1" applyFill="1" applyAlignment="1"/>
    <xf numFmtId="0" fontId="31" fillId="6" borderId="16" xfId="0" applyFont="1" applyFill="1" applyBorder="1" applyAlignment="1">
      <alignment horizontal="center" vertical="center" wrapText="1"/>
    </xf>
    <xf numFmtId="0" fontId="32" fillId="6" borderId="17" xfId="0" applyFont="1" applyFill="1" applyBorder="1" applyAlignment="1">
      <alignment horizontal="center" vertical="center" wrapText="1"/>
    </xf>
    <xf numFmtId="0" fontId="31" fillId="6" borderId="17" xfId="0" applyFont="1" applyFill="1" applyBorder="1" applyAlignment="1">
      <alignment horizontal="center" vertical="center" wrapText="1"/>
    </xf>
    <xf numFmtId="0" fontId="31" fillId="6" borderId="18" xfId="0" applyFont="1" applyFill="1" applyBorder="1" applyAlignment="1">
      <alignment horizontal="center" vertical="center" wrapText="1"/>
    </xf>
    <xf numFmtId="0" fontId="29" fillId="5" borderId="19" xfId="0" applyFont="1" applyFill="1" applyBorder="1" applyAlignment="1">
      <alignment horizontal="left" vertical="center" wrapText="1"/>
    </xf>
    <xf numFmtId="0" fontId="29" fillId="5" borderId="20" xfId="0" applyFont="1" applyFill="1" applyBorder="1" applyAlignment="1">
      <alignment horizontal="left" vertical="center" wrapText="1"/>
    </xf>
    <xf numFmtId="0" fontId="29" fillId="5" borderId="20" xfId="0" applyFont="1" applyFill="1" applyBorder="1" applyAlignment="1">
      <alignment horizontal="center" vertical="center" wrapText="1"/>
    </xf>
    <xf numFmtId="9" fontId="29" fillId="5" borderId="20" xfId="0" applyNumberFormat="1" applyFont="1" applyFill="1" applyBorder="1" applyAlignment="1">
      <alignment horizontal="center" vertical="center" wrapText="1"/>
    </xf>
    <xf numFmtId="0" fontId="29" fillId="5" borderId="21" xfId="0" applyFont="1" applyFill="1" applyBorder="1" applyAlignment="1">
      <alignment horizontal="center" vertical="center" wrapText="1"/>
    </xf>
    <xf numFmtId="0" fontId="29" fillId="5" borderId="22" xfId="0" applyFont="1" applyFill="1" applyBorder="1" applyAlignment="1">
      <alignment horizontal="left" vertical="center" wrapText="1"/>
    </xf>
    <xf numFmtId="0" fontId="29" fillId="5" borderId="23" xfId="0" applyFont="1" applyFill="1" applyBorder="1" applyAlignment="1">
      <alignment horizontal="left" vertical="center" wrapText="1"/>
    </xf>
    <xf numFmtId="0" fontId="29" fillId="5" borderId="23" xfId="0" applyFont="1" applyFill="1" applyBorder="1" applyAlignment="1">
      <alignment horizontal="center" vertical="center" wrapText="1"/>
    </xf>
    <xf numFmtId="9" fontId="29" fillId="5" borderId="23" xfId="0" applyNumberFormat="1" applyFont="1" applyFill="1" applyBorder="1" applyAlignment="1">
      <alignment horizontal="center" vertical="center" wrapText="1"/>
    </xf>
    <xf numFmtId="0" fontId="29" fillId="5" borderId="24" xfId="0" applyFont="1" applyFill="1" applyBorder="1" applyAlignment="1">
      <alignment horizontal="center" vertical="center" wrapText="1"/>
    </xf>
    <xf numFmtId="0" fontId="29" fillId="5" borderId="25" xfId="0" applyFont="1" applyFill="1" applyBorder="1" applyAlignment="1">
      <alignment horizontal="left" vertical="center" wrapText="1"/>
    </xf>
    <xf numFmtId="0" fontId="29" fillId="5" borderId="26" xfId="0" applyFont="1" applyFill="1" applyBorder="1" applyAlignment="1">
      <alignment horizontal="left" vertical="center" wrapText="1"/>
    </xf>
    <xf numFmtId="0" fontId="29" fillId="5" borderId="27" xfId="0" applyFont="1" applyFill="1" applyBorder="1" applyAlignment="1">
      <alignment horizontal="left" vertical="center" wrapText="1"/>
    </xf>
    <xf numFmtId="0" fontId="29" fillId="5" borderId="21" xfId="0" applyFont="1" applyFill="1" applyBorder="1" applyAlignment="1">
      <alignment horizontal="left" vertical="center" wrapText="1"/>
    </xf>
    <xf numFmtId="0" fontId="29" fillId="5" borderId="24" xfId="0" applyFont="1" applyFill="1" applyBorder="1" applyAlignment="1">
      <alignment horizontal="left" vertical="center" wrapText="1"/>
    </xf>
    <xf numFmtId="0" fontId="25" fillId="4" borderId="2" xfId="0" applyFont="1" applyFill="1" applyBorder="1" applyAlignment="1">
      <alignment horizontal="center"/>
    </xf>
    <xf numFmtId="0" fontId="33" fillId="4" borderId="2" xfId="0" applyFont="1" applyFill="1" applyBorder="1" applyAlignment="1">
      <alignment horizontal="left" vertical="center"/>
    </xf>
    <xf numFmtId="0" fontId="34" fillId="4" borderId="2" xfId="0" applyFont="1" applyFill="1" applyBorder="1" applyAlignment="1"/>
    <xf numFmtId="0" fontId="35" fillId="4" borderId="6" xfId="0" applyFont="1" applyFill="1" applyBorder="1" applyAlignment="1"/>
    <xf numFmtId="0" fontId="33" fillId="4" borderId="0" xfId="0" applyFont="1" applyFill="1" applyAlignment="1">
      <alignment horizontal="left" vertical="center"/>
    </xf>
    <xf numFmtId="0" fontId="34" fillId="0" borderId="0" xfId="0" applyFont="1" applyAlignment="1"/>
    <xf numFmtId="0" fontId="35" fillId="4" borderId="7" xfId="0" applyFont="1" applyFill="1" applyBorder="1" applyAlignment="1">
      <alignment horizontal="left"/>
    </xf>
    <xf numFmtId="0" fontId="34" fillId="4" borderId="0" xfId="0" applyFont="1" applyFill="1" applyAlignment="1"/>
    <xf numFmtId="14" fontId="35" fillId="4" borderId="7" xfId="0" applyNumberFormat="1" applyFont="1" applyFill="1" applyBorder="1" applyAlignment="1">
      <alignment horizontal="left"/>
    </xf>
    <xf numFmtId="0" fontId="31" fillId="6" borderId="28" xfId="0" applyFont="1" applyFill="1" applyBorder="1" applyAlignment="1">
      <alignment horizontal="center" vertical="center" wrapText="1"/>
    </xf>
    <xf numFmtId="0" fontId="31" fillId="6" borderId="28" xfId="0" applyFont="1" applyFill="1" applyBorder="1" applyAlignment="1">
      <alignment horizontal="center" vertical="center"/>
    </xf>
    <xf numFmtId="0" fontId="25" fillId="4" borderId="0" xfId="0" applyFont="1" applyFill="1">
      <alignment vertical="center"/>
    </xf>
    <xf numFmtId="9" fontId="27" fillId="4" borderId="29" xfId="3" applyFont="1" applyFill="1" applyBorder="1" applyAlignment="1">
      <alignment horizontal="right"/>
    </xf>
    <xf numFmtId="9" fontId="36" fillId="4" borderId="30" xfId="3" applyFont="1" applyFill="1" applyBorder="1" applyAlignment="1">
      <alignment vertical="center"/>
    </xf>
    <xf numFmtId="1" fontId="37" fillId="4" borderId="31" xfId="0" applyNumberFormat="1" applyFont="1" applyFill="1" applyBorder="1" applyAlignment="1"/>
    <xf numFmtId="9" fontId="25" fillId="4" borderId="0" xfId="3" applyFont="1" applyFill="1" applyAlignment="1">
      <alignment vertical="center"/>
    </xf>
    <xf numFmtId="0" fontId="33" fillId="4" borderId="0" xfId="0" applyFont="1" applyFill="1">
      <alignment vertical="center"/>
    </xf>
    <xf numFmtId="0" fontId="31" fillId="6" borderId="1" xfId="0" applyFont="1" applyFill="1" applyBorder="1" applyAlignment="1">
      <alignment horizontal="left" vertical="center"/>
    </xf>
    <xf numFmtId="0" fontId="27" fillId="0" borderId="32" xfId="0" applyFont="1" applyBorder="1" applyAlignment="1">
      <alignment horizontal="left" vertical="center" wrapText="1"/>
    </xf>
    <xf numFmtId="0" fontId="38" fillId="4" borderId="33" xfId="0" applyFont="1" applyFill="1" applyBorder="1" applyAlignment="1">
      <alignment horizontal="left"/>
    </xf>
    <xf numFmtId="0" fontId="38" fillId="4" borderId="34" xfId="0" applyFont="1" applyFill="1" applyBorder="1" applyAlignment="1">
      <alignment horizontal="left"/>
    </xf>
    <xf numFmtId="0" fontId="27" fillId="4" borderId="33" xfId="0" applyFont="1" applyFill="1" applyBorder="1" applyAlignment="1">
      <alignment horizontal="left" wrapText="1"/>
    </xf>
    <xf numFmtId="0" fontId="39" fillId="0" borderId="29" xfId="0" applyFont="1" applyBorder="1" applyAlignment="1" applyProtection="1">
      <alignment horizontal="right"/>
      <protection locked="0"/>
    </xf>
    <xf numFmtId="1" fontId="38" fillId="4" borderId="29" xfId="0" applyNumberFormat="1" applyFont="1" applyFill="1" applyBorder="1" applyAlignment="1"/>
    <xf numFmtId="0" fontId="27" fillId="0" borderId="35" xfId="0" applyFont="1" applyBorder="1" applyAlignment="1"/>
    <xf numFmtId="0" fontId="27" fillId="0" borderId="36" xfId="0" applyFont="1" applyBorder="1" applyAlignment="1"/>
    <xf numFmtId="0" fontId="27" fillId="0" borderId="37" xfId="0" applyFont="1" applyBorder="1" applyAlignment="1"/>
    <xf numFmtId="0" fontId="27" fillId="0" borderId="38" xfId="0" applyFont="1" applyBorder="1" applyAlignment="1"/>
    <xf numFmtId="0" fontId="27" fillId="0" borderId="39" xfId="0" applyFont="1" applyBorder="1" applyAlignment="1"/>
    <xf numFmtId="0" fontId="27" fillId="0" borderId="0" xfId="0" applyFont="1" applyAlignment="1"/>
    <xf numFmtId="0" fontId="0" fillId="0" borderId="9" xfId="0" applyBorder="1" applyAlignment="1">
      <alignment horizontal="center" vertical="center"/>
    </xf>
    <xf numFmtId="0" fontId="40" fillId="9" borderId="26" xfId="0" applyFont="1" applyFill="1" applyBorder="1" applyAlignment="1">
      <alignment vertical="center" wrapText="1"/>
    </xf>
    <xf numFmtId="0" fontId="40" fillId="9" borderId="26" xfId="0" applyFont="1" applyFill="1" applyBorder="1">
      <alignment vertical="center"/>
    </xf>
    <xf numFmtId="0" fontId="41" fillId="9" borderId="9" xfId="0" applyFont="1" applyFill="1" applyBorder="1">
      <alignment vertical="center"/>
    </xf>
    <xf numFmtId="0" fontId="42" fillId="9" borderId="9" xfId="0" applyFont="1" applyFill="1" applyBorder="1" applyAlignment="1">
      <alignment vertical="center" wrapText="1"/>
    </xf>
    <xf numFmtId="9" fontId="0" fillId="0" borderId="9" xfId="3" applyFont="1" applyBorder="1" applyAlignment="1">
      <alignment horizontal="center" vertical="center"/>
    </xf>
    <xf numFmtId="0" fontId="40" fillId="9" borderId="26" xfId="0" applyFont="1" applyFill="1" applyBorder="1" applyAlignment="1">
      <alignment horizontal="center" vertical="center" wrapText="1"/>
    </xf>
    <xf numFmtId="0" fontId="40" fillId="9" borderId="9" xfId="0" applyFont="1" applyFill="1" applyBorder="1">
      <alignment vertical="center"/>
    </xf>
    <xf numFmtId="0" fontId="40" fillId="9" borderId="9" xfId="0" applyFont="1" applyFill="1" applyBorder="1" applyAlignment="1">
      <alignment horizontal="center" vertical="center" wrapText="1"/>
    </xf>
    <xf numFmtId="0" fontId="43" fillId="9" borderId="9" xfId="0" applyFont="1" applyFill="1" applyBorder="1" applyAlignment="1">
      <alignment horizontal="center" vertical="center" wrapText="1"/>
    </xf>
    <xf numFmtId="167" fontId="35" fillId="10" borderId="9" xfId="0" applyNumberFormat="1" applyFont="1" applyFill="1" applyBorder="1" applyAlignment="1">
      <alignment horizontal="center" vertical="center" wrapText="1"/>
    </xf>
    <xf numFmtId="0" fontId="0" fillId="0" borderId="9" xfId="0" applyBorder="1" applyAlignment="1"/>
    <xf numFmtId="0" fontId="35" fillId="0" borderId="9" xfId="0" applyFont="1" applyBorder="1" applyAlignment="1">
      <alignment horizontal="center" vertical="center"/>
    </xf>
    <xf numFmtId="0" fontId="35" fillId="0" borderId="9" xfId="0" applyFont="1" applyBorder="1" applyAlignment="1">
      <alignment horizontal="center" vertical="center" wrapText="1"/>
    </xf>
    <xf numFmtId="167" fontId="35" fillId="10" borderId="5" xfId="0" applyNumberFormat="1" applyFont="1" applyFill="1" applyBorder="1" applyAlignment="1">
      <alignment horizontal="center" vertical="center" wrapText="1"/>
    </xf>
    <xf numFmtId="167" fontId="35" fillId="10" borderId="26" xfId="0" applyNumberFormat="1" applyFont="1" applyFill="1" applyBorder="1" applyAlignment="1">
      <alignment horizontal="center" vertical="center" wrapText="1"/>
    </xf>
    <xf numFmtId="0" fontId="0" fillId="0" borderId="5" xfId="0" applyBorder="1" applyAlignment="1">
      <alignment horizontal="left" vertical="center"/>
    </xf>
    <xf numFmtId="0" fontId="0" fillId="9" borderId="9" xfId="0" applyFill="1" applyBorder="1" applyAlignment="1"/>
    <xf numFmtId="168" fontId="2" fillId="11" borderId="9" xfId="1" applyNumberFormat="1" applyFont="1" applyFill="1" applyBorder="1"/>
    <xf numFmtId="168" fontId="2" fillId="9" borderId="9" xfId="1" applyNumberFormat="1" applyFont="1" applyFill="1" applyBorder="1"/>
    <xf numFmtId="0" fontId="35" fillId="4" borderId="9" xfId="0" applyFont="1" applyFill="1" applyBorder="1" applyAlignment="1">
      <alignment horizontal="center" vertical="center"/>
    </xf>
    <xf numFmtId="14" fontId="0" fillId="0" borderId="9" xfId="0" applyNumberFormat="1" applyBorder="1" applyAlignment="1"/>
    <xf numFmtId="0" fontId="0" fillId="0" borderId="9" xfId="0" applyBorder="1">
      <alignment vertical="center"/>
    </xf>
    <xf numFmtId="0" fontId="8" fillId="0" borderId="9" xfId="0" applyFont="1" applyBorder="1" applyAlignment="1">
      <alignment vertical="center" wrapText="1"/>
    </xf>
    <xf numFmtId="0" fontId="44" fillId="0" borderId="9" xfId="0" applyFont="1" applyBorder="1" applyAlignment="1">
      <alignment horizontal="center" vertical="center" wrapText="1"/>
    </xf>
    <xf numFmtId="0" fontId="44" fillId="0" borderId="40" xfId="0" applyFont="1" applyBorder="1" applyAlignment="1">
      <alignment horizontal="center" vertical="center" wrapText="1"/>
    </xf>
    <xf numFmtId="0" fontId="35" fillId="0" borderId="5" xfId="0" applyFont="1" applyBorder="1" applyAlignment="1">
      <alignment horizontal="center" vertical="center"/>
    </xf>
    <xf numFmtId="0" fontId="35" fillId="0" borderId="26" xfId="0" applyFont="1" applyBorder="1" applyAlignment="1">
      <alignment horizontal="center" vertical="center"/>
    </xf>
    <xf numFmtId="0" fontId="45" fillId="9" borderId="9" xfId="0" applyFont="1" applyFill="1" applyBorder="1" applyAlignment="1">
      <alignment horizontal="center" vertical="center" wrapText="1"/>
    </xf>
    <xf numFmtId="9" fontId="0" fillId="0" borderId="9" xfId="3" applyFont="1" applyBorder="1" applyAlignment="1">
      <alignment vertical="center"/>
    </xf>
    <xf numFmtId="0" fontId="35" fillId="10" borderId="9" xfId="0" applyFont="1" applyFill="1" applyBorder="1" applyAlignment="1">
      <alignment horizontal="center" vertical="center" wrapText="1"/>
    </xf>
    <xf numFmtId="0" fontId="8" fillId="0" borderId="9" xfId="0" applyFont="1" applyBorder="1">
      <alignment vertical="center"/>
    </xf>
    <xf numFmtId="14" fontId="35" fillId="4" borderId="9" xfId="0" applyNumberFormat="1" applyFont="1" applyFill="1" applyBorder="1" applyAlignment="1">
      <alignment horizontal="center" vertical="center" wrapText="1"/>
    </xf>
    <xf numFmtId="0" fontId="35" fillId="10" borderId="5" xfId="0" applyFont="1" applyFill="1" applyBorder="1" applyAlignment="1">
      <alignment horizontal="center" vertical="center" wrapText="1"/>
    </xf>
    <xf numFmtId="0" fontId="35" fillId="10" borderId="26" xfId="0" applyFont="1" applyFill="1" applyBorder="1" applyAlignment="1">
      <alignment horizontal="center" vertical="center" wrapText="1"/>
    </xf>
    <xf numFmtId="0" fontId="10" fillId="11" borderId="9" xfId="0" applyFont="1" applyFill="1" applyBorder="1">
      <alignment vertical="center"/>
    </xf>
    <xf numFmtId="0" fontId="10" fillId="9" borderId="9" xfId="0" applyFont="1" applyFill="1" applyBorder="1">
      <alignment vertical="center"/>
    </xf>
    <xf numFmtId="0" fontId="9" fillId="0" borderId="9" xfId="0" applyFont="1" applyBorder="1" applyAlignment="1">
      <alignment horizontal="center"/>
    </xf>
    <xf numFmtId="0" fontId="9" fillId="0" borderId="26" xfId="0" applyFont="1" applyBorder="1" applyAlignment="1">
      <alignment horizontal="center"/>
    </xf>
    <xf numFmtId="0" fontId="9" fillId="0" borderId="26" xfId="0" applyFont="1" applyBorder="1" applyAlignment="1">
      <alignment horizontal="center" wrapText="1"/>
    </xf>
    <xf numFmtId="0" fontId="9" fillId="0" borderId="26" xfId="0" applyFont="1" applyBorder="1" applyAlignment="1">
      <alignment horizontal="center" vertical="center"/>
    </xf>
    <xf numFmtId="10" fontId="0" fillId="0" borderId="9" xfId="3" applyNumberFormat="1" applyFont="1" applyBorder="1" applyAlignment="1">
      <alignment horizontal="center" vertical="center"/>
    </xf>
    <xf numFmtId="0" fontId="11" fillId="9" borderId="9" xfId="0" applyFont="1" applyFill="1" applyBorder="1">
      <alignment vertical="center"/>
    </xf>
    <xf numFmtId="0" fontId="31" fillId="9" borderId="26" xfId="0" applyFont="1" applyFill="1" applyBorder="1" applyAlignment="1">
      <alignment horizontal="center" vertical="center" wrapText="1"/>
    </xf>
    <xf numFmtId="0" fontId="31" fillId="9" borderId="9" xfId="0" applyFont="1" applyFill="1" applyBorder="1" applyAlignment="1">
      <alignment horizontal="center" vertical="center" wrapText="1"/>
    </xf>
    <xf numFmtId="0" fontId="39" fillId="4" borderId="31" xfId="0" applyFont="1" applyFill="1" applyBorder="1" applyAlignment="1" applyProtection="1">
      <alignment horizontal="right"/>
      <protection locked="0"/>
    </xf>
    <xf numFmtId="9" fontId="27" fillId="4" borderId="41" xfId="3" applyFont="1" applyFill="1" applyBorder="1" applyAlignment="1">
      <alignment horizontal="right"/>
    </xf>
    <xf numFmtId="0" fontId="8" fillId="0" borderId="40" xfId="0" applyFont="1" applyBorder="1" applyAlignment="1">
      <alignment horizontal="center" vertical="center" wrapText="1"/>
    </xf>
    <xf numFmtId="0" fontId="8" fillId="4" borderId="0" xfId="0" applyFont="1" applyFill="1" applyAlignment="1">
      <alignment vertical="center" wrapText="1"/>
    </xf>
    <xf numFmtId="0" fontId="2" fillId="4" borderId="0" xfId="0" applyFont="1" applyFill="1" applyAlignment="1">
      <alignment horizontal="left" vertical="center" wrapText="1"/>
    </xf>
    <xf numFmtId="0" fontId="2" fillId="0" borderId="0" xfId="0" applyFont="1" applyAlignment="1">
      <alignment horizontal="left" vertical="center" wrapText="1"/>
    </xf>
    <xf numFmtId="0" fontId="2" fillId="0" borderId="32" xfId="0" applyFont="1" applyBorder="1" applyAlignment="1">
      <alignment vertical="center" wrapText="1"/>
    </xf>
    <xf numFmtId="0" fontId="2" fillId="0" borderId="42" xfId="0" applyFont="1" applyBorder="1" applyAlignment="1">
      <alignment vertical="center" wrapText="1"/>
    </xf>
    <xf numFmtId="0" fontId="2" fillId="0" borderId="40" xfId="0" applyFont="1" applyBorder="1" applyAlignment="1">
      <alignment vertical="center" wrapText="1"/>
    </xf>
    <xf numFmtId="0" fontId="10" fillId="4" borderId="0" xfId="0" applyFont="1" applyFill="1" applyAlignment="1"/>
    <xf numFmtId="0" fontId="13" fillId="12" borderId="9" xfId="0" applyFont="1" applyFill="1" applyBorder="1" applyAlignment="1">
      <alignment vertical="center" wrapText="1"/>
    </xf>
    <xf numFmtId="0" fontId="13" fillId="13" borderId="9"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4" borderId="0" xfId="0" applyFont="1" applyFill="1" applyAlignment="1">
      <alignment horizontal="center" vertical="center" wrapText="1"/>
    </xf>
    <xf numFmtId="0" fontId="2" fillId="4" borderId="0" xfId="0" applyFont="1" applyFill="1" applyAlignment="1">
      <alignment horizontal="center" vertical="center" wrapText="1"/>
    </xf>
    <xf numFmtId="0" fontId="13" fillId="12" borderId="9" xfId="0" applyFont="1" applyFill="1" applyBorder="1" applyAlignment="1">
      <alignment horizontal="center" vertical="center" wrapText="1"/>
    </xf>
    <xf numFmtId="0" fontId="15" fillId="0" borderId="9"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38" xfId="0" applyFont="1" applyBorder="1" applyAlignment="1">
      <alignment horizontal="left" vertical="center" wrapText="1"/>
    </xf>
    <xf numFmtId="0" fontId="15" fillId="0" borderId="0" xfId="0" applyFont="1" applyAlignment="1">
      <alignment horizontal="left" vertical="center" wrapText="1"/>
    </xf>
    <xf numFmtId="0" fontId="2" fillId="0" borderId="37" xfId="0" applyFont="1" applyBorder="1" applyAlignment="1">
      <alignment horizontal="left" vertical="center" wrapText="1"/>
    </xf>
    <xf numFmtId="0" fontId="2" fillId="0" borderId="39" xfId="0" applyFont="1" applyBorder="1" applyAlignment="1">
      <alignment horizontal="left" vertical="center" wrapText="1"/>
    </xf>
    <xf numFmtId="0" fontId="15" fillId="0" borderId="0" xfId="0" applyFont="1" applyAlignment="1">
      <alignment horizontal="center" vertical="center" wrapText="1"/>
    </xf>
    <xf numFmtId="0" fontId="15" fillId="0" borderId="43" xfId="0" applyFont="1" applyBorder="1" applyAlignment="1">
      <alignment horizontal="left" vertical="center" wrapText="1"/>
    </xf>
    <xf numFmtId="0" fontId="2" fillId="0" borderId="9" xfId="0" applyFont="1" applyBorder="1" applyAlignment="1">
      <alignment horizontal="center" vertical="center" wrapText="1"/>
    </xf>
    <xf numFmtId="0" fontId="2" fillId="0" borderId="38" xfId="0" applyFont="1" applyBorder="1" applyAlignment="1">
      <alignment horizontal="left" vertical="center" wrapText="1"/>
    </xf>
    <xf numFmtId="0" fontId="13" fillId="12" borderId="36" xfId="0" applyFont="1" applyFill="1" applyBorder="1" applyAlignment="1">
      <alignment vertical="center" wrapText="1"/>
    </xf>
    <xf numFmtId="0" fontId="13" fillId="12" borderId="35" xfId="0" applyFont="1" applyFill="1" applyBorder="1" applyAlignment="1">
      <alignment vertical="center" wrapText="1"/>
    </xf>
    <xf numFmtId="0" fontId="13" fillId="12" borderId="37" xfId="0" applyFont="1" applyFill="1" applyBorder="1" applyAlignment="1">
      <alignment vertical="center" wrapText="1"/>
    </xf>
    <xf numFmtId="0" fontId="13" fillId="12" borderId="44" xfId="0" applyFont="1" applyFill="1" applyBorder="1" applyAlignment="1">
      <alignment vertical="center" wrapText="1"/>
    </xf>
    <xf numFmtId="0" fontId="13" fillId="12" borderId="15" xfId="0" applyFont="1" applyFill="1" applyBorder="1" applyAlignment="1">
      <alignment vertical="center" wrapText="1"/>
    </xf>
    <xf numFmtId="0" fontId="15" fillId="12" borderId="5" xfId="0" applyFont="1" applyFill="1" applyBorder="1" applyAlignment="1">
      <alignment horizontal="center" vertical="center" wrapText="1"/>
    </xf>
    <xf numFmtId="0" fontId="15" fillId="13" borderId="40" xfId="0" applyFont="1" applyFill="1" applyBorder="1" applyAlignment="1">
      <alignment horizontal="center" vertical="center" wrapText="1"/>
    </xf>
    <xf numFmtId="14" fontId="15" fillId="4" borderId="9" xfId="0" applyNumberFormat="1" applyFont="1" applyFill="1" applyBorder="1" applyAlignment="1">
      <alignment horizontal="center" vertical="center" wrapText="1"/>
    </xf>
    <xf numFmtId="0" fontId="15" fillId="4" borderId="40" xfId="0" applyFont="1" applyFill="1" applyBorder="1" applyAlignment="1">
      <alignment horizontal="center" vertical="center" wrapText="1"/>
    </xf>
    <xf numFmtId="0" fontId="2" fillId="0" borderId="9" xfId="0" applyFont="1" applyBorder="1" applyAlignment="1">
      <alignment vertical="center" wrapText="1"/>
    </xf>
    <xf numFmtId="0" fontId="16" fillId="0" borderId="9" xfId="0" applyFont="1" applyBorder="1" applyAlignment="1">
      <alignment horizontal="center" vertical="center" wrapText="1"/>
    </xf>
    <xf numFmtId="0" fontId="16" fillId="0" borderId="40" xfId="0" applyFont="1" applyBorder="1" applyAlignment="1">
      <alignment horizontal="center" vertical="center" wrapText="1"/>
    </xf>
    <xf numFmtId="0" fontId="46" fillId="13" borderId="9" xfId="0" applyFont="1" applyFill="1" applyBorder="1" applyAlignment="1">
      <alignment horizontal="center" vertical="center" wrapText="1"/>
    </xf>
    <xf numFmtId="0" fontId="46" fillId="13" borderId="32" xfId="0" applyFont="1" applyFill="1" applyBorder="1" applyAlignment="1">
      <alignment horizontal="center" vertical="center" wrapText="1"/>
    </xf>
    <xf numFmtId="0" fontId="46" fillId="4" borderId="32" xfId="0" applyFont="1" applyFill="1" applyBorder="1" applyAlignment="1">
      <alignment vertical="center" wrapText="1"/>
    </xf>
    <xf numFmtId="0" fontId="46" fillId="4" borderId="42" xfId="0" applyFont="1" applyFill="1" applyBorder="1" applyAlignment="1">
      <alignment vertical="center" wrapText="1"/>
    </xf>
    <xf numFmtId="0" fontId="46" fillId="4" borderId="40" xfId="0" applyFont="1" applyFill="1" applyBorder="1" applyAlignment="1">
      <alignment vertical="center" wrapText="1"/>
    </xf>
    <xf numFmtId="0" fontId="15" fillId="12" borderId="9" xfId="0" applyFont="1" applyFill="1" applyBorder="1" applyAlignment="1">
      <alignment horizontal="center" vertical="center" wrapText="1"/>
    </xf>
    <xf numFmtId="14" fontId="15" fillId="0" borderId="9" xfId="0" applyNumberFormat="1" applyFont="1" applyBorder="1" applyAlignment="1">
      <alignment horizontal="center" vertical="center" wrapText="1"/>
    </xf>
    <xf numFmtId="14" fontId="2" fillId="0" borderId="9" xfId="0" applyNumberFormat="1" applyFont="1" applyBorder="1" applyAlignment="1">
      <alignment horizontal="center" vertical="center" wrapText="1"/>
    </xf>
    <xf numFmtId="14" fontId="15" fillId="4" borderId="40" xfId="0" applyNumberFormat="1" applyFont="1" applyFill="1" applyBorder="1" applyAlignment="1">
      <alignment horizontal="center" vertical="center" wrapText="1"/>
    </xf>
    <xf numFmtId="0" fontId="8" fillId="0" borderId="9" xfId="0" applyFont="1" applyBorder="1" applyAlignment="1">
      <alignment horizontal="center" vertical="center"/>
    </xf>
    <xf numFmtId="9" fontId="0" fillId="0" borderId="9" xfId="0" applyNumberFormat="1" applyBorder="1" applyAlignment="1">
      <alignment vertical="center" wrapText="1"/>
    </xf>
    <xf numFmtId="1" fontId="39" fillId="4" borderId="31" xfId="0" applyNumberFormat="1" applyFont="1" applyFill="1" applyBorder="1" applyAlignment="1"/>
    <xf numFmtId="1" fontId="39" fillId="4" borderId="29" xfId="0" applyNumberFormat="1" applyFont="1" applyFill="1" applyBorder="1" applyAlignment="1"/>
    <xf numFmtId="1" fontId="39" fillId="4" borderId="33" xfId="0" applyNumberFormat="1" applyFont="1" applyFill="1" applyBorder="1" applyAlignment="1"/>
    <xf numFmtId="1" fontId="39" fillId="4" borderId="45" xfId="0" applyNumberFormat="1" applyFont="1" applyFill="1" applyBorder="1" applyAlignment="1"/>
    <xf numFmtId="17" fontId="31" fillId="6" borderId="28" xfId="0" applyNumberFormat="1" applyFont="1" applyFill="1" applyBorder="1" applyAlignment="1">
      <alignment horizontal="center" vertical="center"/>
    </xf>
    <xf numFmtId="0" fontId="29" fillId="0" borderId="5" xfId="0" applyFont="1" applyBorder="1" applyAlignment="1">
      <alignment horizontal="left" vertical="center" wrapText="1"/>
    </xf>
    <xf numFmtId="0" fontId="29" fillId="0" borderId="5" xfId="0" applyFont="1" applyBorder="1" applyAlignment="1">
      <alignment horizontal="center" vertical="center" wrapText="1"/>
    </xf>
    <xf numFmtId="9" fontId="29" fillId="0" borderId="5" xfId="3" applyFont="1" applyFill="1" applyBorder="1" applyAlignment="1">
      <alignment horizontal="center" vertical="center" wrapText="1"/>
    </xf>
    <xf numFmtId="0" fontId="47" fillId="4" borderId="2" xfId="0" applyFont="1" applyFill="1" applyBorder="1" applyAlignment="1"/>
    <xf numFmtId="0" fontId="47" fillId="0" borderId="0" xfId="0" applyFont="1" applyAlignment="1"/>
    <xf numFmtId="0" fontId="33" fillId="4" borderId="1" xfId="0" applyFont="1" applyFill="1" applyBorder="1">
      <alignment vertical="center"/>
    </xf>
    <xf numFmtId="0" fontId="33" fillId="4" borderId="3" xfId="0" applyFont="1" applyFill="1" applyBorder="1" applyAlignment="1">
      <alignment horizontal="left" vertical="center"/>
    </xf>
    <xf numFmtId="0" fontId="33" fillId="4" borderId="3" xfId="0" applyFont="1" applyFill="1" applyBorder="1">
      <alignment vertical="center"/>
    </xf>
    <xf numFmtId="0" fontId="29" fillId="0" borderId="9" xfId="0" applyFont="1" applyBorder="1" applyAlignment="1">
      <alignment horizontal="left" vertical="center" wrapText="1"/>
    </xf>
    <xf numFmtId="0" fontId="29" fillId="0" borderId="9" xfId="0" applyFont="1" applyBorder="1" applyAlignment="1">
      <alignment horizontal="center" vertical="center" wrapText="1"/>
    </xf>
    <xf numFmtId="9" fontId="29" fillId="0" borderId="9" xfId="3" applyFont="1" applyFill="1" applyBorder="1" applyAlignment="1">
      <alignment horizontal="center" vertical="center" wrapText="1"/>
    </xf>
    <xf numFmtId="0" fontId="27" fillId="0" borderId="46" xfId="0" applyFont="1" applyBorder="1" applyAlignment="1"/>
    <xf numFmtId="0" fontId="27" fillId="0" borderId="44" xfId="0" applyFont="1" applyBorder="1" applyAlignment="1"/>
    <xf numFmtId="0" fontId="27" fillId="0" borderId="15" xfId="0" applyFont="1" applyBorder="1" applyAlignment="1"/>
    <xf numFmtId="0" fontId="29" fillId="4" borderId="5" xfId="0" applyFont="1" applyFill="1" applyBorder="1" applyAlignment="1">
      <alignment horizontal="left" vertical="center" wrapText="1"/>
    </xf>
    <xf numFmtId="0" fontId="29" fillId="4" borderId="9" xfId="0" applyFont="1" applyFill="1" applyBorder="1" applyAlignment="1">
      <alignment horizontal="left" vertical="center" wrapText="1"/>
    </xf>
    <xf numFmtId="0" fontId="25" fillId="4" borderId="35" xfId="0" applyFont="1" applyFill="1" applyBorder="1" applyAlignment="1"/>
    <xf numFmtId="0" fontId="25" fillId="4" borderId="36" xfId="0" applyFont="1" applyFill="1" applyBorder="1" applyAlignment="1">
      <alignment horizontal="center"/>
    </xf>
    <xf numFmtId="0" fontId="33" fillId="4" borderId="36" xfId="0" applyFont="1" applyFill="1" applyBorder="1">
      <alignment vertical="center"/>
    </xf>
    <xf numFmtId="0" fontId="33" fillId="4" borderId="36" xfId="0" applyFont="1" applyFill="1" applyBorder="1" applyAlignment="1">
      <alignment horizontal="left" vertical="center"/>
    </xf>
    <xf numFmtId="0" fontId="34" fillId="4" borderId="36" xfId="0" applyFont="1" applyFill="1" applyBorder="1" applyAlignment="1"/>
    <xf numFmtId="0" fontId="26" fillId="4" borderId="36" xfId="0" applyFont="1" applyFill="1" applyBorder="1" applyAlignment="1"/>
    <xf numFmtId="0" fontId="26" fillId="4" borderId="36" xfId="0" applyFont="1" applyFill="1" applyBorder="1" applyAlignment="1">
      <alignment horizontal="left"/>
    </xf>
    <xf numFmtId="0" fontId="26" fillId="0" borderId="36" xfId="0" applyFont="1" applyBorder="1" applyAlignment="1">
      <alignment horizontal="left"/>
    </xf>
    <xf numFmtId="0" fontId="26" fillId="0" borderId="36" xfId="0" applyFont="1" applyBorder="1" applyAlignment="1"/>
    <xf numFmtId="0" fontId="26" fillId="0" borderId="37" xfId="0" applyFont="1" applyBorder="1" applyAlignment="1"/>
    <xf numFmtId="0" fontId="25" fillId="4" borderId="38" xfId="0" applyFont="1" applyFill="1" applyBorder="1" applyAlignment="1">
      <alignment horizontal="left"/>
    </xf>
    <xf numFmtId="0" fontId="26" fillId="0" borderId="39" xfId="0" applyFont="1" applyBorder="1" applyAlignment="1"/>
    <xf numFmtId="0" fontId="25" fillId="4" borderId="38" xfId="0" applyFont="1" applyFill="1" applyBorder="1" applyAlignment="1"/>
    <xf numFmtId="0" fontId="26" fillId="0" borderId="44" xfId="0" applyFont="1" applyBorder="1" applyAlignment="1"/>
    <xf numFmtId="0" fontId="26" fillId="0" borderId="15" xfId="0" applyFont="1" applyBorder="1" applyAlignment="1"/>
    <xf numFmtId="0" fontId="28" fillId="4" borderId="2" xfId="0" applyFont="1" applyFill="1" applyBorder="1" applyAlignment="1">
      <alignment horizontal="center" vertical="center"/>
    </xf>
    <xf numFmtId="0" fontId="28" fillId="4" borderId="0" xfId="0" applyFont="1" applyFill="1" applyAlignment="1">
      <alignment horizontal="center" vertical="center"/>
    </xf>
    <xf numFmtId="0" fontId="28" fillId="4" borderId="4" xfId="0" applyFont="1" applyFill="1" applyBorder="1" applyAlignment="1">
      <alignment horizontal="center" vertical="center"/>
    </xf>
    <xf numFmtId="0" fontId="48" fillId="0" borderId="47" xfId="0" applyFont="1" applyBorder="1" applyAlignment="1">
      <alignment horizontal="center"/>
    </xf>
    <xf numFmtId="0" fontId="48" fillId="0" borderId="48" xfId="0" applyFont="1" applyBorder="1" applyAlignment="1">
      <alignment horizontal="center"/>
    </xf>
    <xf numFmtId="0" fontId="48" fillId="0" borderId="49" xfId="0" applyFont="1" applyBorder="1" applyAlignment="1">
      <alignment horizontal="center"/>
    </xf>
    <xf numFmtId="0" fontId="48" fillId="0" borderId="50" xfId="0" applyFont="1" applyBorder="1" applyAlignment="1">
      <alignment horizontal="center"/>
    </xf>
    <xf numFmtId="0" fontId="48" fillId="0" borderId="51" xfId="0" applyFont="1" applyBorder="1" applyAlignment="1">
      <alignment horizontal="center"/>
    </xf>
    <xf numFmtId="0" fontId="48" fillId="0" borderId="51" xfId="0" applyFont="1" applyBorder="1" applyAlignment="1">
      <alignment horizontal="center" vertical="center"/>
    </xf>
    <xf numFmtId="0" fontId="48" fillId="0" borderId="52" xfId="0" applyFont="1" applyBorder="1" applyAlignment="1">
      <alignment horizontal="center" vertical="center"/>
    </xf>
    <xf numFmtId="0" fontId="48" fillId="0" borderId="52" xfId="0" applyFont="1" applyBorder="1" applyAlignment="1">
      <alignment horizontal="center"/>
    </xf>
    <xf numFmtId="0" fontId="26" fillId="4" borderId="2" xfId="0" applyFont="1" applyFill="1" applyBorder="1" applyAlignment="1">
      <alignment horizontal="center"/>
    </xf>
    <xf numFmtId="0" fontId="26" fillId="4" borderId="6" xfId="0" applyFont="1" applyFill="1" applyBorder="1" applyAlignment="1">
      <alignment horizontal="center"/>
    </xf>
    <xf numFmtId="0" fontId="26" fillId="4" borderId="0" xfId="0" applyFont="1" applyFill="1" applyAlignment="1">
      <alignment horizontal="center"/>
    </xf>
    <xf numFmtId="0" fontId="26" fillId="4" borderId="7" xfId="0" applyFont="1" applyFill="1" applyBorder="1" applyAlignment="1">
      <alignment horizontal="center"/>
    </xf>
    <xf numFmtId="0" fontId="26" fillId="4" borderId="4" xfId="0" applyFont="1" applyFill="1" applyBorder="1" applyAlignment="1">
      <alignment horizontal="center"/>
    </xf>
    <xf numFmtId="0" fontId="26" fillId="4" borderId="8" xfId="0" applyFont="1" applyFill="1" applyBorder="1" applyAlignment="1">
      <alignment horizontal="center"/>
    </xf>
    <xf numFmtId="0" fontId="33" fillId="4" borderId="0" xfId="0" applyFont="1" applyFill="1" applyAlignment="1">
      <alignment horizontal="left" vertical="top" wrapText="1"/>
    </xf>
    <xf numFmtId="0" fontId="28" fillId="4" borderId="14" xfId="0" applyFont="1" applyFill="1" applyBorder="1" applyAlignment="1">
      <alignment horizontal="center"/>
    </xf>
    <xf numFmtId="0" fontId="28" fillId="4" borderId="4" xfId="0" applyFont="1" applyFill="1" applyBorder="1" applyAlignment="1">
      <alignment horizontal="center"/>
    </xf>
    <xf numFmtId="0" fontId="28" fillId="4" borderId="8" xfId="0" applyFont="1" applyFill="1" applyBorder="1" applyAlignment="1">
      <alignment horizontal="center"/>
    </xf>
    <xf numFmtId="0" fontId="36" fillId="4" borderId="28" xfId="0" applyFont="1" applyFill="1" applyBorder="1" applyAlignment="1">
      <alignment horizontal="center" vertical="center"/>
    </xf>
    <xf numFmtId="0" fontId="36" fillId="4" borderId="53" xfId="0" applyFont="1" applyFill="1" applyBorder="1" applyAlignment="1">
      <alignment horizontal="center" vertical="center"/>
    </xf>
    <xf numFmtId="0" fontId="36" fillId="4" borderId="54" xfId="0" applyFont="1" applyFill="1" applyBorder="1" applyAlignment="1">
      <alignment horizontal="center" vertical="center"/>
    </xf>
    <xf numFmtId="0" fontId="25" fillId="4" borderId="28" xfId="0" applyFont="1" applyFill="1" applyBorder="1" applyAlignment="1">
      <alignment horizontal="left" vertical="center" wrapText="1"/>
    </xf>
    <xf numFmtId="0" fontId="25" fillId="4" borderId="53" xfId="0" applyFont="1" applyFill="1" applyBorder="1" applyAlignment="1">
      <alignment horizontal="left" vertical="center" wrapText="1"/>
    </xf>
    <xf numFmtId="0" fontId="25" fillId="4" borderId="54" xfId="0" applyFont="1" applyFill="1" applyBorder="1" applyAlignment="1">
      <alignment horizontal="left" vertical="center" wrapText="1"/>
    </xf>
    <xf numFmtId="0" fontId="27" fillId="0" borderId="28" xfId="0" applyFont="1" applyBorder="1" applyAlignment="1">
      <alignment horizontal="center" vertical="center" wrapText="1"/>
    </xf>
    <xf numFmtId="0" fontId="27" fillId="0" borderId="53" xfId="0" applyFont="1" applyBorder="1" applyAlignment="1">
      <alignment horizontal="center" vertical="center" wrapText="1"/>
    </xf>
    <xf numFmtId="0" fontId="27" fillId="0" borderId="54" xfId="0" applyFont="1" applyBorder="1" applyAlignment="1">
      <alignment horizontal="center" vertical="center" wrapText="1"/>
    </xf>
    <xf numFmtId="0" fontId="28" fillId="4" borderId="46" xfId="0" applyFont="1" applyFill="1" applyBorder="1" applyAlignment="1">
      <alignment horizontal="center"/>
    </xf>
    <xf numFmtId="0" fontId="28" fillId="4" borderId="44" xfId="0" applyFont="1" applyFill="1" applyBorder="1" applyAlignment="1">
      <alignment horizontal="center"/>
    </xf>
    <xf numFmtId="0" fontId="31" fillId="6" borderId="35" xfId="0" applyFont="1" applyFill="1" applyBorder="1" applyAlignment="1">
      <alignment horizontal="left" vertical="center"/>
    </xf>
    <xf numFmtId="0" fontId="31" fillId="6" borderId="36" xfId="0" applyFont="1" applyFill="1" applyBorder="1" applyAlignment="1">
      <alignment horizontal="left" vertical="center"/>
    </xf>
    <xf numFmtId="0" fontId="31" fillId="6" borderId="37" xfId="0" applyFont="1" applyFill="1" applyBorder="1" applyAlignment="1">
      <alignment horizontal="left" vertical="center"/>
    </xf>
    <xf numFmtId="0" fontId="31" fillId="6" borderId="46" xfId="0" applyFont="1" applyFill="1" applyBorder="1" applyAlignment="1">
      <alignment horizontal="left" vertical="center"/>
    </xf>
    <xf numFmtId="0" fontId="31" fillId="6" borderId="44" xfId="0" applyFont="1" applyFill="1" applyBorder="1" applyAlignment="1">
      <alignment horizontal="left" vertical="center"/>
    </xf>
    <xf numFmtId="0" fontId="31" fillId="6" borderId="15" xfId="0" applyFont="1" applyFill="1" applyBorder="1" applyAlignment="1">
      <alignment horizontal="left" vertical="center"/>
    </xf>
    <xf numFmtId="0" fontId="31" fillId="6" borderId="46" xfId="0" applyFont="1" applyFill="1" applyBorder="1" applyAlignment="1">
      <alignment horizontal="center" vertical="center" wrapText="1"/>
    </xf>
    <xf numFmtId="0" fontId="31" fillId="6" borderId="44" xfId="0" applyFont="1" applyFill="1" applyBorder="1" applyAlignment="1">
      <alignment horizontal="center" vertical="center" wrapText="1"/>
    </xf>
    <xf numFmtId="0" fontId="31" fillId="6" borderId="15" xfId="0" applyFont="1" applyFill="1" applyBorder="1" applyAlignment="1">
      <alignment horizontal="center" vertical="center" wrapText="1"/>
    </xf>
    <xf numFmtId="0" fontId="49" fillId="4" borderId="36" xfId="0" applyFont="1" applyFill="1" applyBorder="1" applyAlignment="1">
      <alignment horizontal="center" vertical="center"/>
    </xf>
    <xf numFmtId="0" fontId="49" fillId="4" borderId="0" xfId="0" applyFont="1" applyFill="1" applyAlignment="1">
      <alignment horizontal="center" vertical="center"/>
    </xf>
    <xf numFmtId="0" fontId="49" fillId="4" borderId="44" xfId="0" applyFont="1" applyFill="1" applyBorder="1" applyAlignment="1">
      <alignment horizontal="center" vertical="center"/>
    </xf>
    <xf numFmtId="0" fontId="31" fillId="6" borderId="35" xfId="0" applyFont="1" applyFill="1" applyBorder="1" applyAlignment="1">
      <alignment horizontal="center" vertical="center" wrapText="1"/>
    </xf>
    <xf numFmtId="0" fontId="31" fillId="6" borderId="36" xfId="0" applyFont="1" applyFill="1" applyBorder="1" applyAlignment="1">
      <alignment horizontal="center" vertical="center" wrapText="1"/>
    </xf>
    <xf numFmtId="0" fontId="31" fillId="6" borderId="37" xfId="0" applyFont="1" applyFill="1" applyBorder="1" applyAlignment="1">
      <alignment horizontal="center" vertical="center" wrapText="1"/>
    </xf>
    <xf numFmtId="0" fontId="27" fillId="0" borderId="35" xfId="0" applyFont="1" applyBorder="1" applyAlignment="1">
      <alignment horizontal="center" vertical="center" wrapText="1"/>
    </xf>
    <xf numFmtId="0" fontId="27" fillId="0" borderId="36" xfId="0" applyFont="1" applyBorder="1" applyAlignment="1">
      <alignment horizontal="center" vertical="center" wrapText="1"/>
    </xf>
    <xf numFmtId="0" fontId="27" fillId="0" borderId="38" xfId="0" applyFont="1" applyBorder="1" applyAlignment="1">
      <alignment horizontal="center" vertical="center" wrapText="1"/>
    </xf>
    <xf numFmtId="0" fontId="27" fillId="0" borderId="0" xfId="0" applyFont="1" applyAlignment="1">
      <alignment horizontal="center" vertical="center" wrapText="1"/>
    </xf>
    <xf numFmtId="0" fontId="27" fillId="0" borderId="55" xfId="0" applyFont="1" applyBorder="1" applyAlignment="1">
      <alignment horizontal="center" vertical="center" wrapText="1"/>
    </xf>
    <xf numFmtId="0" fontId="27" fillId="0" borderId="4" xfId="0" applyFont="1" applyBorder="1" applyAlignment="1">
      <alignment horizontal="center" vertical="center" wrapText="1"/>
    </xf>
    <xf numFmtId="0" fontId="29" fillId="0" borderId="35" xfId="0" applyFont="1" applyBorder="1" applyAlignment="1">
      <alignment horizontal="center" vertical="center" wrapText="1"/>
    </xf>
    <xf numFmtId="0" fontId="29" fillId="0" borderId="37"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39" xfId="0" applyFont="1" applyBorder="1" applyAlignment="1">
      <alignment horizontal="center" vertical="center" wrapText="1"/>
    </xf>
    <xf numFmtId="0" fontId="29" fillId="0" borderId="46" xfId="0" applyFont="1" applyBorder="1" applyAlignment="1">
      <alignment horizontal="center" vertical="center" wrapText="1"/>
    </xf>
    <xf numFmtId="0" fontId="29" fillId="0" borderId="15" xfId="0" applyFont="1" applyBorder="1" applyAlignment="1">
      <alignment horizontal="center" vertical="center" wrapText="1"/>
    </xf>
    <xf numFmtId="0" fontId="31" fillId="6" borderId="32" xfId="0" applyFont="1" applyFill="1" applyBorder="1" applyAlignment="1">
      <alignment horizontal="center" vertical="center"/>
    </xf>
    <xf numFmtId="0" fontId="31" fillId="6" borderId="42" xfId="0" applyFont="1" applyFill="1" applyBorder="1" applyAlignment="1">
      <alignment horizontal="center" vertical="center"/>
    </xf>
    <xf numFmtId="0" fontId="31" fillId="6" borderId="40" xfId="0" applyFont="1" applyFill="1" applyBorder="1" applyAlignment="1">
      <alignment horizontal="center" vertical="center"/>
    </xf>
    <xf numFmtId="0" fontId="27" fillId="0" borderId="37" xfId="0" applyFont="1" applyBorder="1" applyAlignment="1">
      <alignment horizontal="center" vertical="center" wrapText="1"/>
    </xf>
    <xf numFmtId="0" fontId="27" fillId="0" borderId="39" xfId="0" applyFont="1" applyBorder="1" applyAlignment="1">
      <alignment horizontal="center" vertical="center" wrapText="1"/>
    </xf>
    <xf numFmtId="0" fontId="27" fillId="0" borderId="56" xfId="0" applyFont="1" applyBorder="1" applyAlignment="1">
      <alignment horizontal="center" vertical="center" wrapText="1"/>
    </xf>
    <xf numFmtId="2" fontId="31" fillId="6" borderId="35" xfId="0" applyNumberFormat="1" applyFont="1" applyFill="1" applyBorder="1" applyAlignment="1">
      <alignment horizontal="center" vertical="center" wrapText="1"/>
    </xf>
    <xf numFmtId="2" fontId="31" fillId="6" borderId="37" xfId="0" applyNumberFormat="1" applyFont="1" applyFill="1" applyBorder="1" applyAlignment="1">
      <alignment horizontal="center" vertical="center" wrapText="1"/>
    </xf>
    <xf numFmtId="2" fontId="31" fillId="6" borderId="46" xfId="0" applyNumberFormat="1" applyFont="1" applyFill="1" applyBorder="1" applyAlignment="1">
      <alignment horizontal="center" vertical="center" wrapText="1"/>
    </xf>
    <xf numFmtId="2" fontId="31" fillId="6" borderId="15" xfId="0" applyNumberFormat="1" applyFont="1" applyFill="1" applyBorder="1" applyAlignment="1">
      <alignment horizontal="center" vertical="center" wrapText="1"/>
    </xf>
    <xf numFmtId="0" fontId="27" fillId="0" borderId="46" xfId="0" applyFont="1" applyBorder="1" applyAlignment="1">
      <alignment horizontal="center" vertical="center" wrapText="1"/>
    </xf>
    <xf numFmtId="0" fontId="27" fillId="0" borderId="44" xfId="0" applyFont="1" applyBorder="1" applyAlignment="1">
      <alignment horizontal="center" vertical="center" wrapText="1"/>
    </xf>
    <xf numFmtId="0" fontId="27" fillId="0" borderId="15" xfId="0" applyFont="1" applyBorder="1" applyAlignment="1">
      <alignment horizontal="center" vertical="center" wrapText="1"/>
    </xf>
    <xf numFmtId="0" fontId="31" fillId="6" borderId="0" xfId="0" applyFont="1" applyFill="1" applyAlignment="1">
      <alignment horizontal="center" vertical="center" wrapText="1"/>
    </xf>
    <xf numFmtId="0" fontId="31" fillId="6" borderId="39" xfId="0" applyFont="1" applyFill="1" applyBorder="1" applyAlignment="1">
      <alignment horizontal="center" vertical="center" wrapText="1"/>
    </xf>
    <xf numFmtId="0" fontId="40" fillId="9" borderId="32" xfId="0" applyFont="1" applyFill="1" applyBorder="1" applyAlignment="1">
      <alignment horizontal="center" vertical="center" wrapText="1"/>
    </xf>
    <xf numFmtId="0" fontId="40" fillId="9" borderId="42" xfId="0" applyFont="1" applyFill="1" applyBorder="1" applyAlignment="1">
      <alignment horizontal="center" vertical="center" wrapText="1"/>
    </xf>
    <xf numFmtId="0" fontId="40" fillId="9" borderId="40" xfId="0" applyFont="1" applyFill="1" applyBorder="1" applyAlignment="1">
      <alignment horizontal="center" vertical="center" wrapText="1"/>
    </xf>
    <xf numFmtId="0" fontId="8" fillId="0" borderId="9" xfId="0" applyFont="1" applyBorder="1" applyAlignment="1">
      <alignment horizontal="center" vertical="center"/>
    </xf>
    <xf numFmtId="0" fontId="43" fillId="9" borderId="46" xfId="0" applyFont="1" applyFill="1" applyBorder="1" applyAlignment="1">
      <alignment horizontal="center" vertical="center" wrapText="1"/>
    </xf>
    <xf numFmtId="0" fontId="43" fillId="9" borderId="44" xfId="0" applyFont="1" applyFill="1" applyBorder="1" applyAlignment="1">
      <alignment horizontal="center" vertical="center" wrapText="1"/>
    </xf>
    <xf numFmtId="0" fontId="24" fillId="0" borderId="9" xfId="0" applyFont="1" applyBorder="1" applyAlignment="1">
      <alignment horizontal="center"/>
    </xf>
    <xf numFmtId="0" fontId="15" fillId="0" borderId="32"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40" xfId="0" applyFont="1" applyBorder="1" applyAlignment="1">
      <alignment horizontal="center" vertical="center" wrapText="1"/>
    </xf>
    <xf numFmtId="0" fontId="15" fillId="4" borderId="32" xfId="0" applyFont="1" applyFill="1" applyBorder="1" applyAlignment="1">
      <alignment horizontal="center" vertical="center" wrapText="1"/>
    </xf>
    <xf numFmtId="0" fontId="15" fillId="4" borderId="40" xfId="0" applyFont="1" applyFill="1" applyBorder="1" applyAlignment="1">
      <alignment horizontal="center" vertical="center" wrapText="1"/>
    </xf>
    <xf numFmtId="0" fontId="15" fillId="4" borderId="42" xfId="0" applyFont="1" applyFill="1" applyBorder="1" applyAlignment="1">
      <alignment horizontal="center" vertical="center" wrapText="1"/>
    </xf>
    <xf numFmtId="0" fontId="16" fillId="12" borderId="9" xfId="0" applyFont="1" applyFill="1" applyBorder="1" applyAlignment="1">
      <alignment horizontal="center" vertical="center" wrapText="1"/>
    </xf>
    <xf numFmtId="0" fontId="16" fillId="12" borderId="32" xfId="0" applyFont="1" applyFill="1" applyBorder="1" applyAlignment="1">
      <alignment horizontal="center" vertical="center" wrapText="1"/>
    </xf>
    <xf numFmtId="0" fontId="16" fillId="12" borderId="40" xfId="0" applyFont="1" applyFill="1" applyBorder="1" applyAlignment="1">
      <alignment horizontal="center" vertical="center" wrapText="1"/>
    </xf>
    <xf numFmtId="0" fontId="15" fillId="12" borderId="35" xfId="0" applyFont="1" applyFill="1" applyBorder="1" applyAlignment="1">
      <alignment horizontal="center" vertical="center" wrapText="1"/>
    </xf>
    <xf numFmtId="0" fontId="15" fillId="12" borderId="36" xfId="0" applyFont="1" applyFill="1" applyBorder="1" applyAlignment="1">
      <alignment horizontal="center" vertical="center" wrapText="1"/>
    </xf>
    <xf numFmtId="0" fontId="15" fillId="12" borderId="37" xfId="0" applyFont="1" applyFill="1" applyBorder="1" applyAlignment="1">
      <alignment horizontal="center" vertical="center" wrapText="1"/>
    </xf>
    <xf numFmtId="0" fontId="15" fillId="4" borderId="35" xfId="0" applyFont="1" applyFill="1" applyBorder="1" applyAlignment="1">
      <alignment horizontal="center" vertical="center" wrapText="1"/>
    </xf>
    <xf numFmtId="0" fontId="15" fillId="4" borderId="36" xfId="0" applyFont="1" applyFill="1" applyBorder="1" applyAlignment="1">
      <alignment horizontal="center" vertical="center" wrapText="1"/>
    </xf>
    <xf numFmtId="0" fontId="15" fillId="4" borderId="37" xfId="0" applyFont="1" applyFill="1" applyBorder="1" applyAlignment="1">
      <alignment horizontal="center" vertical="center" wrapText="1"/>
    </xf>
    <xf numFmtId="0" fontId="15" fillId="4" borderId="38" xfId="0" applyFont="1" applyFill="1" applyBorder="1" applyAlignment="1">
      <alignment horizontal="center" vertical="center" wrapText="1"/>
    </xf>
    <xf numFmtId="0" fontId="15" fillId="4" borderId="0" xfId="0" applyFont="1" applyFill="1" applyAlignment="1">
      <alignment horizontal="center" vertical="center" wrapText="1"/>
    </xf>
    <xf numFmtId="0" fontId="15" fillId="4" borderId="39" xfId="0" applyFont="1" applyFill="1" applyBorder="1" applyAlignment="1">
      <alignment horizontal="center" vertical="center" wrapText="1"/>
    </xf>
    <xf numFmtId="0" fontId="15" fillId="4" borderId="46" xfId="0" applyFont="1" applyFill="1" applyBorder="1" applyAlignment="1">
      <alignment horizontal="center" vertical="center" wrapText="1"/>
    </xf>
    <xf numFmtId="0" fontId="15" fillId="4" borderId="44" xfId="0" applyFont="1" applyFill="1" applyBorder="1" applyAlignment="1">
      <alignment horizontal="center" vertical="center" wrapText="1"/>
    </xf>
    <xf numFmtId="0" fontId="15" fillId="4" borderId="15" xfId="0" applyFont="1" applyFill="1" applyBorder="1" applyAlignment="1">
      <alignment horizontal="center" vertical="center" wrapText="1"/>
    </xf>
    <xf numFmtId="0" fontId="15" fillId="0" borderId="35"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0" xfId="0" applyFont="1" applyAlignment="1">
      <alignment horizontal="center" vertical="center" wrapText="1"/>
    </xf>
    <xf numFmtId="0" fontId="15" fillId="0" borderId="39"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44" xfId="0" applyFont="1" applyBorder="1" applyAlignment="1">
      <alignment horizontal="center" vertical="center" wrapText="1"/>
    </xf>
    <xf numFmtId="0" fontId="15" fillId="0" borderId="15" xfId="0" applyFont="1" applyBorder="1" applyAlignment="1">
      <alignment horizontal="center" vertical="center" wrapText="1"/>
    </xf>
    <xf numFmtId="0" fontId="46" fillId="13" borderId="32" xfId="0" applyFont="1" applyFill="1" applyBorder="1" applyAlignment="1">
      <alignment horizontal="center" vertical="center" wrapText="1"/>
    </xf>
    <xf numFmtId="0" fontId="46" fillId="13" borderId="42" xfId="0" applyFont="1" applyFill="1" applyBorder="1" applyAlignment="1">
      <alignment horizontal="center" vertical="center" wrapText="1"/>
    </xf>
    <xf numFmtId="0" fontId="46" fillId="13" borderId="40" xfId="0" applyFont="1" applyFill="1" applyBorder="1" applyAlignment="1">
      <alignment horizontal="center" vertical="center" wrapText="1"/>
    </xf>
    <xf numFmtId="0" fontId="15" fillId="0" borderId="32" xfId="0" applyFont="1" applyBorder="1" applyAlignment="1">
      <alignment horizontal="left" vertical="center" wrapText="1"/>
    </xf>
    <xf numFmtId="0" fontId="15" fillId="0" borderId="42" xfId="0" applyFont="1" applyBorder="1" applyAlignment="1">
      <alignment horizontal="left" vertical="center" wrapText="1"/>
    </xf>
    <xf numFmtId="0" fontId="15" fillId="0" borderId="40" xfId="0" applyFont="1" applyBorder="1" applyAlignment="1">
      <alignment horizontal="left"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0" xfId="0" applyFont="1" applyAlignment="1">
      <alignment horizontal="center" vertical="center" wrapText="1"/>
    </xf>
    <xf numFmtId="0" fontId="8" fillId="0" borderId="39" xfId="0" applyFont="1" applyBorder="1" applyAlignment="1">
      <alignment horizontal="center" vertical="center" wrapText="1"/>
    </xf>
    <xf numFmtId="0" fontId="13" fillId="12" borderId="35" xfId="0" applyFont="1" applyFill="1" applyBorder="1" applyAlignment="1">
      <alignment horizontal="center" vertical="center" wrapText="1"/>
    </xf>
    <xf numFmtId="0" fontId="13" fillId="12" borderId="36" xfId="0" applyFont="1" applyFill="1" applyBorder="1" applyAlignment="1">
      <alignment horizontal="center" vertical="center" wrapText="1"/>
    </xf>
    <xf numFmtId="0" fontId="13" fillId="12" borderId="46" xfId="0" applyFont="1" applyFill="1" applyBorder="1" applyAlignment="1">
      <alignment horizontal="center" vertical="center" wrapText="1"/>
    </xf>
    <xf numFmtId="0" fontId="13" fillId="12" borderId="44" xfId="0" applyFont="1" applyFill="1" applyBorder="1" applyAlignment="1">
      <alignment horizontal="center" vertical="center" wrapText="1"/>
    </xf>
    <xf numFmtId="0" fontId="2" fillId="12" borderId="26" xfId="0" applyFont="1" applyFill="1" applyBorder="1" applyAlignment="1">
      <alignment horizontal="center" vertical="center" wrapText="1"/>
    </xf>
    <xf numFmtId="0" fontId="2" fillId="12" borderId="5" xfId="0" applyFont="1" applyFill="1" applyBorder="1" applyAlignment="1">
      <alignment horizontal="center" vertical="center" wrapText="1"/>
    </xf>
    <xf numFmtId="0" fontId="15" fillId="12" borderId="32" xfId="0" applyFont="1" applyFill="1" applyBorder="1" applyAlignment="1">
      <alignment horizontal="center" vertical="center" wrapText="1"/>
    </xf>
    <xf numFmtId="0" fontId="15" fillId="12" borderId="42" xfId="0" applyFont="1" applyFill="1" applyBorder="1" applyAlignment="1">
      <alignment horizontal="center" vertical="center" wrapText="1"/>
    </xf>
    <xf numFmtId="0" fontId="15" fillId="12" borderId="40" xfId="0" applyFont="1" applyFill="1" applyBorder="1" applyAlignment="1">
      <alignment horizontal="center" vertical="center" wrapText="1"/>
    </xf>
    <xf numFmtId="0" fontId="15" fillId="13" borderId="32" xfId="0" applyFont="1" applyFill="1" applyBorder="1" applyAlignment="1">
      <alignment horizontal="center" vertical="center" wrapText="1"/>
    </xf>
    <xf numFmtId="0" fontId="15" fillId="13" borderId="42" xfId="0" applyFont="1" applyFill="1" applyBorder="1" applyAlignment="1">
      <alignment horizontal="center" vertical="center" wrapText="1"/>
    </xf>
    <xf numFmtId="0" fontId="15" fillId="13" borderId="40" xfId="0" applyFont="1" applyFill="1" applyBorder="1" applyAlignment="1">
      <alignment horizontal="center" vertical="center" wrapText="1"/>
    </xf>
    <xf numFmtId="0" fontId="15" fillId="4" borderId="32" xfId="0" applyFont="1" applyFill="1" applyBorder="1" applyAlignment="1">
      <alignment horizontal="left" vertical="center" wrapText="1"/>
    </xf>
    <xf numFmtId="0" fontId="15" fillId="4" borderId="42" xfId="0" applyFont="1" applyFill="1" applyBorder="1" applyAlignment="1">
      <alignment horizontal="left" vertical="center" wrapText="1"/>
    </xf>
    <xf numFmtId="0" fontId="15" fillId="4" borderId="40" xfId="0" applyFont="1" applyFill="1" applyBorder="1" applyAlignment="1">
      <alignment horizontal="left" vertical="center" wrapText="1"/>
    </xf>
    <xf numFmtId="0" fontId="15" fillId="14" borderId="9" xfId="0" applyFont="1" applyFill="1" applyBorder="1" applyAlignment="1">
      <alignment horizontal="center" vertical="center" wrapText="1"/>
    </xf>
    <xf numFmtId="0" fontId="15" fillId="0" borderId="9" xfId="0" applyFont="1" applyBorder="1" applyAlignment="1">
      <alignment horizontal="center" vertical="center" wrapText="1"/>
    </xf>
    <xf numFmtId="0" fontId="2" fillId="0" borderId="9" xfId="0" applyFont="1" applyBorder="1" applyAlignment="1">
      <alignment horizontal="center" vertical="center" wrapText="1"/>
    </xf>
    <xf numFmtId="0" fontId="13" fillId="13" borderId="9" xfId="0" applyFont="1" applyFill="1" applyBorder="1" applyAlignment="1">
      <alignment horizontal="center" vertical="center" wrapText="1"/>
    </xf>
    <xf numFmtId="0" fontId="15" fillId="14" borderId="32" xfId="0" applyFont="1" applyFill="1" applyBorder="1" applyAlignment="1">
      <alignment horizontal="center" vertical="center" wrapText="1"/>
    </xf>
    <xf numFmtId="0" fontId="15" fillId="14" borderId="42" xfId="0" applyFont="1" applyFill="1" applyBorder="1" applyAlignment="1">
      <alignment horizontal="center" vertical="center" wrapText="1"/>
    </xf>
    <xf numFmtId="0" fontId="15" fillId="14" borderId="40" xfId="0" applyFont="1" applyFill="1" applyBorder="1" applyAlignment="1">
      <alignment horizontal="center" vertical="center" wrapText="1"/>
    </xf>
    <xf numFmtId="0" fontId="15" fillId="0" borderId="57" xfId="0" applyFont="1" applyBorder="1" applyAlignment="1">
      <alignment horizontal="center" vertical="center" wrapText="1"/>
    </xf>
    <xf numFmtId="0" fontId="15" fillId="0" borderId="58" xfId="0" applyFont="1" applyBorder="1" applyAlignment="1">
      <alignment horizontal="center" vertical="center" wrapText="1"/>
    </xf>
    <xf numFmtId="0" fontId="15" fillId="0" borderId="59" xfId="0" applyFont="1" applyBorder="1" applyAlignment="1">
      <alignment horizontal="center" vertical="center" wrapText="1"/>
    </xf>
    <xf numFmtId="0" fontId="13" fillId="13" borderId="35" xfId="0" applyFont="1" applyFill="1" applyBorder="1" applyAlignment="1">
      <alignment horizontal="center" wrapText="1"/>
    </xf>
    <xf numFmtId="0" fontId="13" fillId="13" borderId="36" xfId="0" applyFont="1" applyFill="1" applyBorder="1" applyAlignment="1">
      <alignment horizontal="center" wrapText="1"/>
    </xf>
    <xf numFmtId="0" fontId="13" fillId="13" borderId="37" xfId="0" applyFont="1" applyFill="1" applyBorder="1" applyAlignment="1">
      <alignment horizontal="center" wrapText="1"/>
    </xf>
    <xf numFmtId="0" fontId="13" fillId="13" borderId="46" xfId="0" applyFont="1" applyFill="1" applyBorder="1" applyAlignment="1">
      <alignment horizontal="center" wrapText="1"/>
    </xf>
    <xf numFmtId="0" fontId="13" fillId="13" borderId="44" xfId="0" applyFont="1" applyFill="1" applyBorder="1" applyAlignment="1">
      <alignment horizontal="center" wrapText="1"/>
    </xf>
    <xf numFmtId="0" fontId="13" fillId="13" borderId="15" xfId="0" applyFont="1" applyFill="1" applyBorder="1" applyAlignment="1">
      <alignment horizontal="center" wrapText="1"/>
    </xf>
    <xf numFmtId="0" fontId="15" fillId="0" borderId="60" xfId="0" applyFont="1" applyBorder="1" applyAlignment="1">
      <alignment horizontal="center" vertical="center" wrapText="1"/>
    </xf>
    <xf numFmtId="0" fontId="15" fillId="0" borderId="61" xfId="0" applyFont="1" applyBorder="1" applyAlignment="1">
      <alignment horizontal="center" vertical="center" wrapText="1"/>
    </xf>
    <xf numFmtId="0" fontId="13" fillId="12" borderId="32" xfId="0" applyFont="1" applyFill="1" applyBorder="1" applyAlignment="1">
      <alignment horizontal="center" vertical="center" wrapText="1"/>
    </xf>
    <xf numFmtId="0" fontId="13" fillId="12" borderId="42" xfId="0" applyFont="1" applyFill="1" applyBorder="1" applyAlignment="1">
      <alignment horizontal="center" vertical="center" wrapText="1"/>
    </xf>
    <xf numFmtId="0" fontId="13" fillId="12" borderId="40" xfId="0" applyFont="1" applyFill="1" applyBorder="1" applyAlignment="1">
      <alignment horizontal="center" vertical="center" wrapText="1"/>
    </xf>
    <xf numFmtId="0" fontId="8" fillId="0" borderId="46"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15" xfId="0" applyFont="1" applyBorder="1" applyAlignment="1">
      <alignment horizontal="center" vertical="center" wrapText="1"/>
    </xf>
    <xf numFmtId="0" fontId="13" fillId="12" borderId="9" xfId="0" applyFont="1" applyFill="1" applyBorder="1" applyAlignment="1">
      <alignment horizontal="center" vertical="center" wrapText="1"/>
    </xf>
    <xf numFmtId="0" fontId="13" fillId="0" borderId="32"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40" xfId="0" applyFont="1" applyBorder="1" applyAlignment="1">
      <alignment horizontal="center" vertical="center" wrapText="1"/>
    </xf>
    <xf numFmtId="0" fontId="11" fillId="2" borderId="32" xfId="0" applyFont="1" applyFill="1" applyBorder="1" applyAlignment="1">
      <alignment horizontal="center"/>
    </xf>
    <xf numFmtId="0" fontId="11" fillId="2" borderId="42" xfId="0" applyFont="1" applyFill="1" applyBorder="1" applyAlignment="1">
      <alignment horizontal="center"/>
    </xf>
    <xf numFmtId="0" fontId="11" fillId="2" borderId="40" xfId="0" applyFont="1" applyFill="1" applyBorder="1" applyAlignment="1">
      <alignment horizontal="center"/>
    </xf>
    <xf numFmtId="0" fontId="2" fillId="0" borderId="32" xfId="0" applyFont="1" applyBorder="1" applyAlignment="1">
      <alignment horizontal="center" vertical="center" wrapText="1"/>
    </xf>
    <xf numFmtId="0" fontId="2" fillId="0" borderId="4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40" xfId="0" applyFont="1" applyBorder="1" applyAlignment="1">
      <alignment horizontal="center" vertical="center" wrapText="1"/>
    </xf>
    <xf numFmtId="14" fontId="2" fillId="0" borderId="32" xfId="0" applyNumberFormat="1" applyFont="1" applyBorder="1" applyAlignment="1">
      <alignment horizontal="center" vertical="center" wrapText="1"/>
    </xf>
    <xf numFmtId="0" fontId="13" fillId="4" borderId="32" xfId="0" applyFont="1" applyFill="1" applyBorder="1" applyAlignment="1">
      <alignment horizontal="center" vertical="center" wrapText="1"/>
    </xf>
    <xf numFmtId="0" fontId="13" fillId="4" borderId="42"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8" fillId="0" borderId="4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15" xfId="0" applyFont="1" applyBorder="1" applyAlignment="1">
      <alignment horizontal="center" vertical="center" wrapText="1"/>
    </xf>
    <xf numFmtId="0" fontId="8" fillId="4" borderId="0" xfId="0" applyFont="1" applyFill="1" applyAlignment="1">
      <alignment horizontal="center" vertical="center" wrapText="1"/>
    </xf>
    <xf numFmtId="0" fontId="46" fillId="4" borderId="32" xfId="0" applyFont="1" applyFill="1" applyBorder="1" applyAlignment="1">
      <alignment horizontal="center" vertical="center" wrapText="1"/>
    </xf>
    <xf numFmtId="0" fontId="46" fillId="4" borderId="42" xfId="0" applyFont="1" applyFill="1" applyBorder="1" applyAlignment="1">
      <alignment horizontal="center" vertical="center" wrapText="1"/>
    </xf>
    <xf numFmtId="0" fontId="46" fillId="4" borderId="40" xfId="0" applyFont="1" applyFill="1" applyBorder="1" applyAlignment="1">
      <alignment horizontal="center" vertical="center" wrapText="1"/>
    </xf>
    <xf numFmtId="0" fontId="15" fillId="0" borderId="35" xfId="0" applyFont="1" applyBorder="1" applyAlignment="1">
      <alignment horizontal="left" vertical="center" wrapText="1"/>
    </xf>
    <xf numFmtId="0" fontId="15" fillId="0" borderId="36" xfId="0" applyFont="1" applyBorder="1" applyAlignment="1">
      <alignment horizontal="left" vertical="center" wrapText="1"/>
    </xf>
    <xf numFmtId="0" fontId="15" fillId="0" borderId="37" xfId="0" applyFont="1" applyBorder="1" applyAlignment="1">
      <alignment horizontal="left" vertical="center" wrapText="1"/>
    </xf>
    <xf numFmtId="0" fontId="15" fillId="0" borderId="38" xfId="0" applyFont="1" applyBorder="1" applyAlignment="1">
      <alignment horizontal="left" vertical="center" wrapText="1"/>
    </xf>
    <xf numFmtId="0" fontId="15" fillId="0" borderId="0" xfId="0" applyFont="1" applyAlignment="1">
      <alignment horizontal="left" vertical="center" wrapText="1"/>
    </xf>
    <xf numFmtId="0" fontId="15" fillId="0" borderId="39" xfId="0" applyFont="1" applyBorder="1" applyAlignment="1">
      <alignment horizontal="left" vertical="center" wrapText="1"/>
    </xf>
    <xf numFmtId="0" fontId="15" fillId="0" borderId="46" xfId="0" applyFont="1" applyBorder="1" applyAlignment="1">
      <alignment horizontal="left" vertical="center" wrapText="1"/>
    </xf>
    <xf numFmtId="0" fontId="15" fillId="0" borderId="44" xfId="0" applyFont="1" applyBorder="1" applyAlignment="1">
      <alignment horizontal="left" vertical="center" wrapText="1"/>
    </xf>
    <xf numFmtId="0" fontId="15" fillId="0" borderId="15" xfId="0" applyFont="1" applyBorder="1" applyAlignment="1">
      <alignment horizontal="left" vertical="center" wrapText="1"/>
    </xf>
    <xf numFmtId="0" fontId="2" fillId="0" borderId="32" xfId="0" applyFont="1" applyBorder="1" applyAlignment="1">
      <alignment horizontal="left" vertical="center" wrapText="1"/>
    </xf>
    <xf numFmtId="0" fontId="2" fillId="0" borderId="42" xfId="0" applyFont="1" applyBorder="1" applyAlignment="1">
      <alignment horizontal="left" vertical="center" wrapText="1"/>
    </xf>
    <xf numFmtId="0" fontId="2" fillId="0" borderId="40" xfId="0" applyFont="1" applyBorder="1" applyAlignment="1">
      <alignment horizontal="left" vertical="center" wrapText="1"/>
    </xf>
    <xf numFmtId="0" fontId="2" fillId="0" borderId="42" xfId="0" applyFont="1" applyBorder="1" applyAlignment="1">
      <alignment horizontal="center" vertical="center" wrapText="1"/>
    </xf>
    <xf numFmtId="0" fontId="8" fillId="0" borderId="9" xfId="0" applyFont="1" applyBorder="1" applyAlignment="1">
      <alignment horizontal="center" vertical="center" wrapText="1"/>
    </xf>
    <xf numFmtId="0" fontId="13" fillId="12" borderId="37" xfId="0" applyFont="1" applyFill="1" applyBorder="1" applyAlignment="1">
      <alignment horizontal="center" vertical="center" wrapText="1"/>
    </xf>
    <xf numFmtId="0" fontId="13" fillId="12" borderId="15" xfId="0" applyFont="1" applyFill="1" applyBorder="1" applyAlignment="1">
      <alignment horizontal="center" vertical="center" wrapText="1"/>
    </xf>
    <xf numFmtId="0" fontId="50" fillId="0" borderId="32" xfId="0" applyFont="1" applyBorder="1" applyAlignment="1">
      <alignment horizontal="center" vertical="center" wrapText="1"/>
    </xf>
    <xf numFmtId="0" fontId="50" fillId="0" borderId="40" xfId="0" applyFont="1" applyBorder="1" applyAlignment="1">
      <alignment horizontal="center" vertical="center" wrapText="1"/>
    </xf>
    <xf numFmtId="0" fontId="0" fillId="0" borderId="32" xfId="0" applyBorder="1" applyAlignment="1">
      <alignment horizontal="left" vertical="center" wrapText="1"/>
    </xf>
    <xf numFmtId="0" fontId="0" fillId="0" borderId="42" xfId="0" applyBorder="1" applyAlignment="1">
      <alignment horizontal="left" vertical="center" wrapText="1"/>
    </xf>
    <xf numFmtId="0" fontId="0" fillId="0" borderId="40" xfId="0" applyBorder="1" applyAlignment="1">
      <alignment horizontal="left" vertical="center" wrapText="1"/>
    </xf>
  </cellXfs>
  <cellStyles count="4">
    <cellStyle name="Millares" xfId="1" builtinId="3"/>
    <cellStyle name="Normal" xfId="0" builtinId="0"/>
    <cellStyle name="Normal 3" xfId="2" xr:uid="{00000000-0005-0000-0000-000002000000}"/>
    <cellStyle name="Porcentaje" xfId="3"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00FF00"/>
      <rgbColor rgb="0099CCFF"/>
      <rgbColor rgb="00CCCCFF"/>
      <rgbColor rgb="00FFFFFF"/>
      <rgbColor rgb="00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705882352941183E-2"/>
          <c:y val="4.3539325842696631E-2"/>
          <c:w val="0.76470588235294112"/>
          <c:h val="0.8160112359550562"/>
        </c:manualLayout>
      </c:layout>
      <c:lineChart>
        <c:grouping val="standard"/>
        <c:varyColors val="0"/>
        <c:ser>
          <c:idx val="2"/>
          <c:order val="0"/>
          <c:tx>
            <c:strRef>
              <c:f>'Reporte de Datos '!$E$10</c:f>
              <c:strCache>
                <c:ptCount val="1"/>
                <c:pt idx="0">
                  <c:v>Promedio</c:v>
                </c:pt>
              </c:strCache>
            </c:strRef>
          </c:tx>
          <c:dLbls>
            <c:spPr>
              <a:noFill/>
              <a:ln w="25400">
                <a:noFill/>
              </a:ln>
            </c:spPr>
            <c:txPr>
              <a:bodyPr wrap="square" lIns="38100" tIns="19050" rIns="38100" bIns="19050" anchor="ctr">
                <a:spAutoFit/>
              </a:bodyPr>
              <a:lstStyle/>
              <a:p>
                <a:pPr>
                  <a:defRPr sz="1100" b="1"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'Reporte de Datos '!$F$7:$Q$7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'!$F$10:$Q$10</c:f>
              <c:numCache>
                <c:formatCode>0%</c:formatCode>
                <c:ptCount val="12"/>
                <c:pt idx="0">
                  <c:v>0.97894736842105268</c:v>
                </c:pt>
                <c:pt idx="1">
                  <c:v>0.94444444444444442</c:v>
                </c:pt>
                <c:pt idx="2">
                  <c:v>0.978494623655914</c:v>
                </c:pt>
                <c:pt idx="3">
                  <c:v>1</c:v>
                </c:pt>
                <c:pt idx="4">
                  <c:v>0.9642857142857143</c:v>
                </c:pt>
                <c:pt idx="5">
                  <c:v>0.98947368421052628</c:v>
                </c:pt>
                <c:pt idx="6">
                  <c:v>0.99029126213592233</c:v>
                </c:pt>
                <c:pt idx="7">
                  <c:v>0.98630136986301364</c:v>
                </c:pt>
                <c:pt idx="8">
                  <c:v>0.99371069182389937</c:v>
                </c:pt>
                <c:pt idx="9">
                  <c:v>0.99099099099099097</c:v>
                </c:pt>
                <c:pt idx="10">
                  <c:v>1</c:v>
                </c:pt>
                <c:pt idx="11">
                  <c:v>0.99145299145299148</c:v>
                </c:pt>
              </c:numCache>
            </c:numRef>
          </c:val>
          <c:smooth val="0"/>
          <c:extLst>
            <c:ext xmlns:c16="http://schemas.microsoft.com/office/drawing/2014/chart" uri="{C3380CC4-5D6E-409C-BE32-E72D297353CC}">
              <c16:uniqueId val="{00000000-4C49-46D4-B036-3569DD8CAAC9}"/>
            </c:ext>
          </c:extLst>
        </c:ser>
        <c:ser>
          <c:idx val="3"/>
          <c:order val="1"/>
          <c:tx>
            <c:strRef>
              <c:f>'Reporte de Datos '!$E$11</c:f>
              <c:strCache>
                <c:ptCount val="1"/>
                <c:pt idx="0">
                  <c:v>META </c:v>
                </c:pt>
              </c:strCache>
            </c:strRef>
          </c:tx>
          <c:marker>
            <c:spPr>
              <a:solidFill>
                <a:srgbClr val="FF0000"/>
              </a:solidFill>
            </c:spPr>
          </c:marker>
          <c:cat>
            <c:strRef>
              <c:f>'Reporte de Datos '!$F$7:$Q$7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'!$F$11:$Q$11</c:f>
              <c:numCache>
                <c:formatCode>0%</c:formatCode>
                <c:ptCount val="12"/>
                <c:pt idx="0">
                  <c:v>0.95</c:v>
                </c:pt>
                <c:pt idx="1">
                  <c:v>0.95</c:v>
                </c:pt>
                <c:pt idx="2">
                  <c:v>0.95</c:v>
                </c:pt>
                <c:pt idx="3">
                  <c:v>0.95</c:v>
                </c:pt>
                <c:pt idx="4">
                  <c:v>0.95</c:v>
                </c:pt>
                <c:pt idx="5">
                  <c:v>0.95</c:v>
                </c:pt>
                <c:pt idx="6">
                  <c:v>0.95</c:v>
                </c:pt>
                <c:pt idx="7">
                  <c:v>0.95</c:v>
                </c:pt>
                <c:pt idx="8">
                  <c:v>0.95</c:v>
                </c:pt>
                <c:pt idx="9">
                  <c:v>0.95</c:v>
                </c:pt>
                <c:pt idx="10">
                  <c:v>0.95</c:v>
                </c:pt>
                <c:pt idx="11">
                  <c:v>0.95</c:v>
                </c:pt>
              </c:numCache>
            </c:numRef>
          </c:val>
          <c:smooth val="0"/>
          <c:extLst>
            <c:ext xmlns:c16="http://schemas.microsoft.com/office/drawing/2014/chart" uri="{C3380CC4-5D6E-409C-BE32-E72D297353CC}">
              <c16:uniqueId val="{00000001-4C49-46D4-B036-3569DD8CAAC9}"/>
            </c:ext>
          </c:extLst>
        </c:ser>
        <c:dLbls>
          <c:showLegendKey val="0"/>
          <c:showVal val="0"/>
          <c:showCatName val="0"/>
          <c:showSerName val="0"/>
          <c:showPercent val="0"/>
          <c:showBubbleSize val="0"/>
        </c:dLbls>
        <c:marker val="1"/>
        <c:smooth val="0"/>
        <c:axId val="50291888"/>
        <c:axId val="1"/>
      </c:lineChart>
      <c:catAx>
        <c:axId val="50291888"/>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1"/>
      </c:catAx>
      <c:valAx>
        <c:axId val="1"/>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0291888"/>
        <c:crosses val="autoZero"/>
        <c:crossBetween val="between"/>
      </c:valAx>
    </c:plotArea>
    <c:legend>
      <c:legendPos val="r"/>
      <c:layout>
        <c:manualLayout>
          <c:xMode val="edge"/>
          <c:yMode val="edge"/>
          <c:x val="0.88391818947159906"/>
          <c:y val="0.43278854849026221"/>
          <c:w val="0.10305124776674324"/>
          <c:h val="0.14286243631310797"/>
        </c:manualLayout>
      </c:layout>
      <c:overlay val="0"/>
      <c:txPr>
        <a:bodyPr/>
        <a:lstStyle/>
        <a:p>
          <a:pPr>
            <a:defRPr sz="46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92D050"/>
            </a:solidFill>
            <a:ln>
              <a:solidFill>
                <a:schemeClr val="tx1"/>
              </a:solidFill>
            </a:ln>
          </c:spPr>
          <c:invertIfNegative val="0"/>
          <c:dPt>
            <c:idx val="0"/>
            <c:invertIfNegative val="0"/>
            <c:bubble3D val="0"/>
            <c:spPr>
              <a:solidFill>
                <a:srgbClr val="FFFF00"/>
              </a:solidFill>
              <a:ln>
                <a:solidFill>
                  <a:schemeClr val="tx1"/>
                </a:solidFill>
              </a:ln>
            </c:spPr>
            <c:extLst>
              <c:ext xmlns:c16="http://schemas.microsoft.com/office/drawing/2014/chart" uri="{C3380CC4-5D6E-409C-BE32-E72D297353CC}">
                <c16:uniqueId val="{00000000-91FD-4124-A05C-88AA32A6A7BD}"/>
              </c:ext>
            </c:extLst>
          </c:dPt>
          <c:dPt>
            <c:idx val="4"/>
            <c:invertIfNegative val="0"/>
            <c:bubble3D val="0"/>
            <c:spPr>
              <a:solidFill>
                <a:schemeClr val="accent6">
                  <a:lumMod val="75000"/>
                </a:schemeClr>
              </a:solidFill>
              <a:ln>
                <a:solidFill>
                  <a:schemeClr val="tx1"/>
                </a:solidFill>
              </a:ln>
            </c:spPr>
            <c:extLst>
              <c:ext xmlns:c16="http://schemas.microsoft.com/office/drawing/2014/chart" uri="{C3380CC4-5D6E-409C-BE32-E72D297353CC}">
                <c16:uniqueId val="{00000001-91FD-4124-A05C-88AA32A6A7BD}"/>
              </c:ext>
            </c:extLst>
          </c:dPt>
          <c:dLbls>
            <c:spPr>
              <a:noFill/>
              <a:ln w="25400">
                <a:noFill/>
              </a:ln>
            </c:spPr>
            <c:txPr>
              <a:bodyPr wrap="square" lIns="38100" tIns="19050" rIns="38100" bIns="19050" anchor="ctr">
                <a:spAutoFit/>
              </a:bodyPr>
              <a:lstStyle/>
              <a:p>
                <a:pPr>
                  <a:defRPr sz="105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'Not Entidades'!$A$65:$A$78</c:f>
              <c:strCache>
                <c:ptCount val="14"/>
                <c:pt idx="0">
                  <c:v>Registradurìa </c:v>
                </c:pt>
                <c:pt idx="1">
                  <c:v>Superintendencia de Industria y Comercio</c:v>
                </c:pt>
                <c:pt idx="2">
                  <c:v>IGAC</c:v>
                </c:pt>
                <c:pt idx="3">
                  <c:v>INCODER</c:v>
                </c:pt>
                <c:pt idx="4">
                  <c:v>Notarias</c:v>
                </c:pt>
                <c:pt idx="5">
                  <c:v>Alcalde</c:v>
                </c:pt>
                <c:pt idx="6">
                  <c:v>Ejèrcito Nacional</c:v>
                </c:pt>
                <c:pt idx="7">
                  <c:v>Secretaria de Planeaciòn</c:v>
                </c:pt>
                <c:pt idx="8">
                  <c:v>Area Metropolitana de Bucaramanga</c:v>
                </c:pt>
                <c:pt idx="9">
                  <c:v>DIAN</c:v>
                </c:pt>
                <c:pt idx="10">
                  <c:v>Minagricultura</c:v>
                </c:pt>
                <c:pt idx="11">
                  <c:v>Minexterior</c:v>
                </c:pt>
                <c:pt idx="12">
                  <c:v>Secretaria de Hacienda </c:v>
                </c:pt>
                <c:pt idx="13">
                  <c:v>Superfinanciera</c:v>
                </c:pt>
              </c:strCache>
            </c:strRef>
          </c:cat>
          <c:val>
            <c:numRef>
              <c:f>'Not Entidades'!$C$65:$C$78</c:f>
              <c:numCache>
                <c:formatCode>0%</c:formatCode>
                <c:ptCount val="14"/>
                <c:pt idx="0">
                  <c:v>0.15094339622641509</c:v>
                </c:pt>
                <c:pt idx="1">
                  <c:v>3.7735849056603772E-2</c:v>
                </c:pt>
                <c:pt idx="2">
                  <c:v>5.6603773584905662E-2</c:v>
                </c:pt>
                <c:pt idx="3">
                  <c:v>9.433962264150943E-3</c:v>
                </c:pt>
                <c:pt idx="4">
                  <c:v>0.63207547169811318</c:v>
                </c:pt>
                <c:pt idx="5">
                  <c:v>2.8301886792452831E-2</c:v>
                </c:pt>
                <c:pt idx="6">
                  <c:v>9.433962264150943E-3</c:v>
                </c:pt>
                <c:pt idx="7">
                  <c:v>9.433962264150943E-3</c:v>
                </c:pt>
                <c:pt idx="8">
                  <c:v>9.433962264150943E-3</c:v>
                </c:pt>
                <c:pt idx="9">
                  <c:v>9.433962264150943E-3</c:v>
                </c:pt>
                <c:pt idx="10">
                  <c:v>1.8867924528301886E-2</c:v>
                </c:pt>
                <c:pt idx="11">
                  <c:v>9.433962264150943E-3</c:v>
                </c:pt>
                <c:pt idx="12">
                  <c:v>9.433962264150943E-3</c:v>
                </c:pt>
                <c:pt idx="13">
                  <c:v>9.433962264150943E-3</c:v>
                </c:pt>
              </c:numCache>
            </c:numRef>
          </c:val>
          <c:extLst>
            <c:ext xmlns:c16="http://schemas.microsoft.com/office/drawing/2014/chart" uri="{C3380CC4-5D6E-409C-BE32-E72D297353CC}">
              <c16:uniqueId val="{00000002-91FD-4124-A05C-88AA32A6A7BD}"/>
            </c:ext>
          </c:extLst>
        </c:ser>
        <c:dLbls>
          <c:showLegendKey val="0"/>
          <c:showVal val="0"/>
          <c:showCatName val="0"/>
          <c:showSerName val="0"/>
          <c:showPercent val="0"/>
          <c:showBubbleSize val="0"/>
        </c:dLbls>
        <c:gapWidth val="150"/>
        <c:axId val="46351296"/>
        <c:axId val="1"/>
      </c:barChart>
      <c:catAx>
        <c:axId val="46351296"/>
        <c:scaling>
          <c:orientation val="minMax"/>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b"/>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6351296"/>
        <c:crosses val="autoZero"/>
        <c:crossBetween val="between"/>
      </c:valAx>
    </c:plotArea>
    <c:plotVisOnly val="1"/>
    <c:dispBlanksAs val="gap"/>
    <c:showDLblsOverMax val="0"/>
  </c:chart>
  <c:spPr>
    <a:scene3d>
      <a:camera prst="orthographicFront"/>
      <a:lightRig rig="threePt" dir="t"/>
    </a:scene3d>
    <a:sp3d>
      <a:bevelT/>
    </a:sp3d>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59838274932614"/>
          <c:y val="5.7613168724279837E-2"/>
          <c:w val="0.84097035040431267"/>
          <c:h val="0.47736625514403291"/>
        </c:manualLayout>
      </c:layout>
      <c:barChart>
        <c:barDir val="col"/>
        <c:grouping val="clustered"/>
        <c:varyColors val="0"/>
        <c:ser>
          <c:idx val="0"/>
          <c:order val="0"/>
          <c:spPr>
            <a:solidFill>
              <a:srgbClr val="92D050"/>
            </a:solidFill>
            <a:ln>
              <a:solidFill>
                <a:schemeClr val="tx1"/>
              </a:solidFill>
            </a:ln>
          </c:spPr>
          <c:invertIfNegative val="0"/>
          <c:dPt>
            <c:idx val="2"/>
            <c:invertIfNegative val="0"/>
            <c:bubble3D val="0"/>
            <c:spPr>
              <a:solidFill>
                <a:srgbClr val="FFC000"/>
              </a:solidFill>
              <a:ln>
                <a:solidFill>
                  <a:schemeClr val="tx1"/>
                </a:solidFill>
              </a:ln>
            </c:spPr>
            <c:extLst>
              <c:ext xmlns:c16="http://schemas.microsoft.com/office/drawing/2014/chart" uri="{C3380CC4-5D6E-409C-BE32-E72D297353CC}">
                <c16:uniqueId val="{00000000-2347-4797-A14F-6BAB19EE0F7C}"/>
              </c:ext>
            </c:extLst>
          </c:dPt>
          <c:dPt>
            <c:idx val="4"/>
            <c:invertIfNegative val="0"/>
            <c:bubble3D val="0"/>
            <c:spPr>
              <a:solidFill>
                <a:srgbClr val="FFFF00"/>
              </a:solidFill>
              <a:ln>
                <a:solidFill>
                  <a:schemeClr val="tx1"/>
                </a:solidFill>
              </a:ln>
            </c:spPr>
            <c:extLst>
              <c:ext xmlns:c16="http://schemas.microsoft.com/office/drawing/2014/chart" uri="{C3380CC4-5D6E-409C-BE32-E72D297353CC}">
                <c16:uniqueId val="{00000001-2347-4797-A14F-6BAB19EE0F7C}"/>
              </c:ext>
            </c:extLst>
          </c:dPt>
          <c:dPt>
            <c:idx val="5"/>
            <c:invertIfNegative val="0"/>
            <c:bubble3D val="0"/>
            <c:spPr>
              <a:solidFill>
                <a:srgbClr val="FFFF00"/>
              </a:solidFill>
              <a:ln>
                <a:solidFill>
                  <a:schemeClr val="tx1"/>
                </a:solidFill>
              </a:ln>
            </c:spPr>
            <c:extLst>
              <c:ext xmlns:c16="http://schemas.microsoft.com/office/drawing/2014/chart" uri="{C3380CC4-5D6E-409C-BE32-E72D297353CC}">
                <c16:uniqueId val="{00000002-2347-4797-A14F-6BAB19EE0F7C}"/>
              </c:ext>
            </c:extLst>
          </c:dPt>
          <c:dLbls>
            <c:spPr>
              <a:noFill/>
              <a:ln w="25400">
                <a:noFill/>
              </a:ln>
            </c:spPr>
            <c:txPr>
              <a:bodyPr wrap="square" lIns="38100" tIns="19050" rIns="38100" bIns="19050" anchor="ctr">
                <a:spAutoFit/>
              </a:bodyPr>
              <a:lstStyle/>
              <a:p>
                <a:pPr>
                  <a:defRPr sz="105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'Not Entidades'!$K$57:$K$64</c:f>
              <c:strCache>
                <c:ptCount val="8"/>
                <c:pt idx="0">
                  <c:v>Denuncia </c:v>
                </c:pt>
                <c:pt idx="1">
                  <c:v>Estado Radicado</c:v>
                </c:pt>
                <c:pt idx="2">
                  <c:v>Peticiòn de Solicitud</c:v>
                </c:pt>
                <c:pt idx="3">
                  <c:v>Peticiòn Informativa</c:v>
                </c:pt>
                <c:pt idx="4">
                  <c:v>Queja </c:v>
                </c:pt>
                <c:pt idx="5">
                  <c:v>Reclamo</c:v>
                </c:pt>
                <c:pt idx="6">
                  <c:v>No Competente</c:v>
                </c:pt>
                <c:pt idx="7">
                  <c:v>Peticiòn Consulta</c:v>
                </c:pt>
              </c:strCache>
            </c:strRef>
          </c:cat>
          <c:val>
            <c:numRef>
              <c:f>'Not Entidades'!$M$57:$M$64</c:f>
              <c:numCache>
                <c:formatCode>0%</c:formatCode>
                <c:ptCount val="8"/>
                <c:pt idx="0">
                  <c:v>2.8301886792452831E-2</c:v>
                </c:pt>
                <c:pt idx="1">
                  <c:v>2.8301886792452831E-2</c:v>
                </c:pt>
                <c:pt idx="2">
                  <c:v>0.3867924528301887</c:v>
                </c:pt>
                <c:pt idx="3">
                  <c:v>9.433962264150943E-3</c:v>
                </c:pt>
                <c:pt idx="4">
                  <c:v>0.23584905660377359</c:v>
                </c:pt>
                <c:pt idx="5">
                  <c:v>0.22641509433962265</c:v>
                </c:pt>
                <c:pt idx="6">
                  <c:v>7.5471698113207544E-2</c:v>
                </c:pt>
                <c:pt idx="7">
                  <c:v>9.433962264150943E-3</c:v>
                </c:pt>
              </c:numCache>
            </c:numRef>
          </c:val>
          <c:extLst>
            <c:ext xmlns:c16="http://schemas.microsoft.com/office/drawing/2014/chart" uri="{C3380CC4-5D6E-409C-BE32-E72D297353CC}">
              <c16:uniqueId val="{00000003-2347-4797-A14F-6BAB19EE0F7C}"/>
            </c:ext>
          </c:extLst>
        </c:ser>
        <c:dLbls>
          <c:showLegendKey val="0"/>
          <c:showVal val="0"/>
          <c:showCatName val="0"/>
          <c:showSerName val="0"/>
          <c:showPercent val="0"/>
          <c:showBubbleSize val="0"/>
        </c:dLbls>
        <c:gapWidth val="150"/>
        <c:axId val="46351760"/>
        <c:axId val="1"/>
      </c:barChart>
      <c:catAx>
        <c:axId val="46351760"/>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6351760"/>
        <c:crosses val="autoZero"/>
        <c:crossBetween val="between"/>
      </c:valAx>
    </c:plotArea>
    <c:plotVisOnly val="1"/>
    <c:dispBlanksAs val="gap"/>
    <c:showDLblsOverMax val="0"/>
  </c:chart>
  <c:spPr>
    <a:scene3d>
      <a:camera prst="orthographicFront"/>
      <a:lightRig rig="threePt" dir="t"/>
    </a:scene3d>
    <a:sp3d>
      <a:bevelT/>
    </a:sp3d>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6250000000000002"/>
          <c:y val="4.8611111111111112E-2"/>
          <c:w val="0.48125000000000001"/>
          <c:h val="0.82986111111111116"/>
        </c:manualLayout>
      </c:layout>
      <c:barChart>
        <c:barDir val="bar"/>
        <c:grouping val="clustered"/>
        <c:varyColors val="0"/>
        <c:ser>
          <c:idx val="0"/>
          <c:order val="0"/>
          <c:spPr>
            <a:solidFill>
              <a:srgbClr val="92D050"/>
            </a:solidFill>
            <a:ln>
              <a:solidFill>
                <a:schemeClr val="tx1"/>
              </a:solidFill>
            </a:ln>
          </c:spPr>
          <c:invertIfNegative val="0"/>
          <c:dPt>
            <c:idx val="0"/>
            <c:invertIfNegative val="0"/>
            <c:bubble3D val="0"/>
            <c:spPr>
              <a:solidFill>
                <a:srgbClr val="FFFF00"/>
              </a:solidFill>
              <a:ln>
                <a:solidFill>
                  <a:schemeClr val="tx1"/>
                </a:solidFill>
              </a:ln>
            </c:spPr>
            <c:extLst>
              <c:ext xmlns:c16="http://schemas.microsoft.com/office/drawing/2014/chart" uri="{C3380CC4-5D6E-409C-BE32-E72D297353CC}">
                <c16:uniqueId val="{00000000-F540-4533-95A7-48A3B30BCC10}"/>
              </c:ext>
            </c:extLst>
          </c:dPt>
          <c:dPt>
            <c:idx val="1"/>
            <c:invertIfNegative val="0"/>
            <c:bubble3D val="0"/>
            <c:spPr>
              <a:solidFill>
                <a:srgbClr val="FFC000"/>
              </a:solidFill>
              <a:ln>
                <a:solidFill>
                  <a:schemeClr val="tx1"/>
                </a:solidFill>
              </a:ln>
            </c:spPr>
            <c:extLst>
              <c:ext xmlns:c16="http://schemas.microsoft.com/office/drawing/2014/chart" uri="{C3380CC4-5D6E-409C-BE32-E72D297353CC}">
                <c16:uniqueId val="{00000001-F540-4533-95A7-48A3B30BCC10}"/>
              </c:ext>
            </c:extLst>
          </c:dPt>
          <c:dPt>
            <c:idx val="2"/>
            <c:invertIfNegative val="0"/>
            <c:bubble3D val="0"/>
            <c:spPr>
              <a:solidFill>
                <a:srgbClr val="FFFF00"/>
              </a:solidFill>
              <a:ln>
                <a:solidFill>
                  <a:schemeClr val="tx1"/>
                </a:solidFill>
              </a:ln>
            </c:spPr>
            <c:extLst>
              <c:ext xmlns:c16="http://schemas.microsoft.com/office/drawing/2014/chart" uri="{C3380CC4-5D6E-409C-BE32-E72D297353CC}">
                <c16:uniqueId val="{00000002-F540-4533-95A7-48A3B30BCC10}"/>
              </c:ext>
            </c:extLst>
          </c:dPt>
          <c:dPt>
            <c:idx val="3"/>
            <c:invertIfNegative val="0"/>
            <c:bubble3D val="0"/>
            <c:spPr>
              <a:solidFill>
                <a:srgbClr val="FFFF00"/>
              </a:solidFill>
              <a:ln>
                <a:solidFill>
                  <a:schemeClr val="tx1"/>
                </a:solidFill>
              </a:ln>
            </c:spPr>
            <c:extLst>
              <c:ext xmlns:c16="http://schemas.microsoft.com/office/drawing/2014/chart" uri="{C3380CC4-5D6E-409C-BE32-E72D297353CC}">
                <c16:uniqueId val="{00000003-F540-4533-95A7-48A3B30BCC10}"/>
              </c:ext>
            </c:extLst>
          </c:dPt>
          <c:dPt>
            <c:idx val="4"/>
            <c:invertIfNegative val="0"/>
            <c:bubble3D val="0"/>
            <c:spPr>
              <a:solidFill>
                <a:srgbClr val="FFC000"/>
              </a:solidFill>
              <a:ln>
                <a:solidFill>
                  <a:schemeClr val="tx1"/>
                </a:solidFill>
              </a:ln>
            </c:spPr>
            <c:extLst>
              <c:ext xmlns:c16="http://schemas.microsoft.com/office/drawing/2014/chart" uri="{C3380CC4-5D6E-409C-BE32-E72D297353CC}">
                <c16:uniqueId val="{00000004-F540-4533-95A7-48A3B30BCC10}"/>
              </c:ext>
            </c:extLst>
          </c:dPt>
          <c:dPt>
            <c:idx val="5"/>
            <c:invertIfNegative val="0"/>
            <c:bubble3D val="0"/>
            <c:spPr>
              <a:solidFill>
                <a:srgbClr val="FFC000"/>
              </a:solidFill>
              <a:ln>
                <a:solidFill>
                  <a:schemeClr val="tx1"/>
                </a:solidFill>
              </a:ln>
            </c:spPr>
            <c:extLst>
              <c:ext xmlns:c16="http://schemas.microsoft.com/office/drawing/2014/chart" uri="{C3380CC4-5D6E-409C-BE32-E72D297353CC}">
                <c16:uniqueId val="{00000005-F540-4533-95A7-48A3B30BCC10}"/>
              </c:ext>
            </c:extLst>
          </c:dPt>
          <c:dPt>
            <c:idx val="6"/>
            <c:invertIfNegative val="0"/>
            <c:bubble3D val="0"/>
            <c:spPr>
              <a:solidFill>
                <a:schemeClr val="accent6">
                  <a:lumMod val="75000"/>
                </a:schemeClr>
              </a:solidFill>
              <a:ln>
                <a:solidFill>
                  <a:schemeClr val="tx1"/>
                </a:solidFill>
              </a:ln>
            </c:spPr>
            <c:extLst>
              <c:ext xmlns:c16="http://schemas.microsoft.com/office/drawing/2014/chart" uri="{C3380CC4-5D6E-409C-BE32-E72D297353CC}">
                <c16:uniqueId val="{00000006-F540-4533-95A7-48A3B30BCC10}"/>
              </c:ext>
            </c:extLst>
          </c:dPt>
          <c:dLbls>
            <c:spPr>
              <a:noFill/>
              <a:ln w="25400">
                <a:noFill/>
              </a:ln>
            </c:spPr>
            <c:txPr>
              <a:bodyPr wrap="square" lIns="38100" tIns="19050" rIns="38100" bIns="19050" anchor="ctr">
                <a:spAutoFit/>
              </a:bodyPr>
              <a:lstStyle/>
              <a:p>
                <a:pPr>
                  <a:defRPr sz="105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'Not Entidades'!$A$82:$A$93</c:f>
              <c:strCache>
                <c:ptCount val="12"/>
                <c:pt idx="0">
                  <c:v>Demora tràmite Notarial</c:v>
                </c:pt>
                <c:pt idx="1">
                  <c:v>Estado Civil</c:v>
                </c:pt>
                <c:pt idx="2">
                  <c:v>Informaciòn General </c:v>
                </c:pt>
                <c:pt idx="3">
                  <c:v>Estado Radicado</c:v>
                </c:pt>
                <c:pt idx="4">
                  <c:v>Mala prestaciòn servicio notarial</c:v>
                </c:pt>
                <c:pt idx="5">
                  <c:v>Otros </c:v>
                </c:pt>
                <c:pt idx="6">
                  <c:v>Tràmite Notarial</c:v>
                </c:pt>
                <c:pt idx="7">
                  <c:v>Devoluciòn de dinero</c:v>
                </c:pt>
                <c:pt idx="8">
                  <c:v>Àreas y linderos </c:v>
                </c:pt>
                <c:pt idx="9">
                  <c:v>Certificaciòn firma notario</c:v>
                </c:pt>
                <c:pt idx="10">
                  <c:v>Demora tràmite Registral</c:v>
                </c:pt>
                <c:pt idx="11">
                  <c:v>Mala prestaciòn del servicio Registral</c:v>
                </c:pt>
              </c:strCache>
            </c:strRef>
          </c:cat>
          <c:val>
            <c:numRef>
              <c:f>'Not Entidades'!$C$82:$C$93</c:f>
              <c:numCache>
                <c:formatCode>0%</c:formatCode>
                <c:ptCount val="12"/>
                <c:pt idx="0">
                  <c:v>7.5471698113207544E-2</c:v>
                </c:pt>
                <c:pt idx="1">
                  <c:v>0.19811320754716982</c:v>
                </c:pt>
                <c:pt idx="2">
                  <c:v>7.5471698113207544E-2</c:v>
                </c:pt>
                <c:pt idx="3">
                  <c:v>5.6603773584905662E-2</c:v>
                </c:pt>
                <c:pt idx="4">
                  <c:v>0.14150943396226415</c:v>
                </c:pt>
                <c:pt idx="5">
                  <c:v>0.10377358490566038</c:v>
                </c:pt>
                <c:pt idx="6">
                  <c:v>0.29245283018867924</c:v>
                </c:pt>
                <c:pt idx="7">
                  <c:v>1.8867924528301886E-2</c:v>
                </c:pt>
                <c:pt idx="8">
                  <c:v>9.433962264150943E-3</c:v>
                </c:pt>
                <c:pt idx="9">
                  <c:v>9.433962264150943E-3</c:v>
                </c:pt>
                <c:pt idx="10">
                  <c:v>9.433962264150943E-3</c:v>
                </c:pt>
                <c:pt idx="11">
                  <c:v>9.433962264150943E-3</c:v>
                </c:pt>
              </c:numCache>
            </c:numRef>
          </c:val>
          <c:extLst>
            <c:ext xmlns:c16="http://schemas.microsoft.com/office/drawing/2014/chart" uri="{C3380CC4-5D6E-409C-BE32-E72D297353CC}">
              <c16:uniqueId val="{00000007-F540-4533-95A7-48A3B30BCC10}"/>
            </c:ext>
          </c:extLst>
        </c:ser>
        <c:dLbls>
          <c:showLegendKey val="0"/>
          <c:showVal val="0"/>
          <c:showCatName val="0"/>
          <c:showSerName val="0"/>
          <c:showPercent val="0"/>
          <c:showBubbleSize val="0"/>
        </c:dLbls>
        <c:gapWidth val="150"/>
        <c:axId val="46350832"/>
        <c:axId val="1"/>
      </c:barChart>
      <c:catAx>
        <c:axId val="46350832"/>
        <c:scaling>
          <c:orientation val="minMax"/>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b"/>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6350832"/>
        <c:crosses val="autoZero"/>
        <c:crossBetween val="between"/>
      </c:valAx>
    </c:plotArea>
    <c:plotVisOnly val="1"/>
    <c:dispBlanksAs val="gap"/>
    <c:showDLblsOverMax val="0"/>
  </c:chart>
  <c:spPr>
    <a:scene3d>
      <a:camera prst="orthographicFront"/>
      <a:lightRig rig="threePt" dir="t"/>
    </a:scene3d>
    <a:sp3d>
      <a:bevelT/>
    </a:sp3d>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66666666666666E-2"/>
          <c:y val="5.6680161943319839E-2"/>
          <c:w val="0.87708333333333333"/>
          <c:h val="0.51821862348178138"/>
        </c:manualLayout>
      </c:layout>
      <c:barChart>
        <c:barDir val="col"/>
        <c:grouping val="clustered"/>
        <c:varyColors val="0"/>
        <c:ser>
          <c:idx val="0"/>
          <c:order val="0"/>
          <c:spPr>
            <a:solidFill>
              <a:srgbClr val="92D050"/>
            </a:solidFill>
            <a:ln>
              <a:solidFill>
                <a:schemeClr val="tx1"/>
              </a:solidFill>
            </a:ln>
          </c:spPr>
          <c:invertIfNegative val="0"/>
          <c:dPt>
            <c:idx val="3"/>
            <c:invertIfNegative val="0"/>
            <c:bubble3D val="0"/>
            <c:spPr>
              <a:solidFill>
                <a:srgbClr val="FFC000"/>
              </a:solidFill>
              <a:ln>
                <a:solidFill>
                  <a:schemeClr val="tx1"/>
                </a:solidFill>
              </a:ln>
            </c:spPr>
            <c:extLst>
              <c:ext xmlns:c16="http://schemas.microsoft.com/office/drawing/2014/chart" uri="{C3380CC4-5D6E-409C-BE32-E72D297353CC}">
                <c16:uniqueId val="{00000000-0B04-4D5A-8283-C4A50B450CA2}"/>
              </c:ext>
            </c:extLst>
          </c:dPt>
          <c:dPt>
            <c:idx val="6"/>
            <c:invertIfNegative val="0"/>
            <c:bubble3D val="0"/>
            <c:spPr>
              <a:solidFill>
                <a:schemeClr val="accent6">
                  <a:lumMod val="75000"/>
                </a:schemeClr>
              </a:solidFill>
              <a:ln>
                <a:solidFill>
                  <a:schemeClr val="tx1"/>
                </a:solidFill>
              </a:ln>
            </c:spPr>
            <c:extLst>
              <c:ext xmlns:c16="http://schemas.microsoft.com/office/drawing/2014/chart" uri="{C3380CC4-5D6E-409C-BE32-E72D297353CC}">
                <c16:uniqueId val="{00000001-0B04-4D5A-8283-C4A50B450CA2}"/>
              </c:ext>
            </c:extLst>
          </c:dPt>
          <c:dLbls>
            <c:spPr>
              <a:noFill/>
              <a:ln w="25400">
                <a:noFill/>
              </a:ln>
            </c:spPr>
            <c:txPr>
              <a:bodyPr wrap="square" lIns="38100" tIns="19050" rIns="38100" bIns="19050" anchor="ctr">
                <a:spAutoFit/>
              </a:bodyPr>
              <a:lstStyle/>
              <a:p>
                <a:pPr>
                  <a:defRPr sz="105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OAC!$A$1:$A$8</c:f>
              <c:strCache>
                <c:ptCount val="8"/>
                <c:pt idx="0">
                  <c:v>Consulta</c:v>
                </c:pt>
                <c:pt idx="1">
                  <c:v>Peticiòn</c:v>
                </c:pt>
                <c:pt idx="2">
                  <c:v>Queja </c:v>
                </c:pt>
                <c:pt idx="3">
                  <c:v>Reclamo</c:v>
                </c:pt>
                <c:pt idx="4">
                  <c:v>Solicitud</c:v>
                </c:pt>
                <c:pt idx="5">
                  <c:v>Denuncia</c:v>
                </c:pt>
                <c:pt idx="6">
                  <c:v>Peticiòn Informativa</c:v>
                </c:pt>
                <c:pt idx="7">
                  <c:v>Estado radicado</c:v>
                </c:pt>
              </c:strCache>
            </c:strRef>
          </c:cat>
          <c:val>
            <c:numRef>
              <c:f>OAC!$C$1:$C$8</c:f>
              <c:numCache>
                <c:formatCode>0%</c:formatCode>
                <c:ptCount val="8"/>
                <c:pt idx="0">
                  <c:v>4.5751633986928102E-2</c:v>
                </c:pt>
                <c:pt idx="1">
                  <c:v>8.3591331269349839E-2</c:v>
                </c:pt>
                <c:pt idx="2">
                  <c:v>6.1919504643962852E-3</c:v>
                </c:pt>
                <c:pt idx="3">
                  <c:v>0.35741314069487445</c:v>
                </c:pt>
                <c:pt idx="4">
                  <c:v>1.8231854145166839E-2</c:v>
                </c:pt>
                <c:pt idx="5">
                  <c:v>1.0319917440660474E-3</c:v>
                </c:pt>
                <c:pt idx="6">
                  <c:v>0.48503611971104232</c:v>
                </c:pt>
                <c:pt idx="7">
                  <c:v>2.7519779841761265E-3</c:v>
                </c:pt>
              </c:numCache>
            </c:numRef>
          </c:val>
          <c:extLst>
            <c:ext xmlns:c16="http://schemas.microsoft.com/office/drawing/2014/chart" uri="{C3380CC4-5D6E-409C-BE32-E72D297353CC}">
              <c16:uniqueId val="{00000002-0B04-4D5A-8283-C4A50B450CA2}"/>
            </c:ext>
          </c:extLst>
        </c:ser>
        <c:dLbls>
          <c:showLegendKey val="0"/>
          <c:showVal val="0"/>
          <c:showCatName val="0"/>
          <c:showSerName val="0"/>
          <c:showPercent val="0"/>
          <c:showBubbleSize val="0"/>
        </c:dLbls>
        <c:gapWidth val="150"/>
        <c:axId val="46357792"/>
        <c:axId val="1"/>
      </c:barChart>
      <c:catAx>
        <c:axId val="46357792"/>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6357792"/>
        <c:crosses val="autoZero"/>
        <c:crossBetween val="between"/>
      </c:valAx>
    </c:plotArea>
    <c:plotVisOnly val="1"/>
    <c:dispBlanksAs val="gap"/>
    <c:showDLblsOverMax val="0"/>
  </c:chart>
  <c:spPr>
    <a:scene3d>
      <a:camera prst="orthographicFront"/>
      <a:lightRig rig="threePt" dir="t"/>
    </a:scene3d>
    <a:sp3d>
      <a:bevelT/>
    </a:sp3d>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265060240963861E-2"/>
          <c:y val="4.8611111111111112E-2"/>
          <c:w val="0.91114457831325302"/>
          <c:h val="0.4513888888888889"/>
        </c:manualLayout>
      </c:layout>
      <c:barChart>
        <c:barDir val="col"/>
        <c:grouping val="clustered"/>
        <c:varyColors val="0"/>
        <c:ser>
          <c:idx val="0"/>
          <c:order val="0"/>
          <c:spPr>
            <a:solidFill>
              <a:srgbClr val="92D050"/>
            </a:solidFill>
          </c:spPr>
          <c:invertIfNegative val="0"/>
          <c:dPt>
            <c:idx val="4"/>
            <c:invertIfNegative val="0"/>
            <c:bubble3D val="0"/>
            <c:spPr>
              <a:solidFill>
                <a:schemeClr val="accent6">
                  <a:lumMod val="75000"/>
                </a:schemeClr>
              </a:solidFill>
            </c:spPr>
            <c:extLst>
              <c:ext xmlns:c16="http://schemas.microsoft.com/office/drawing/2014/chart" uri="{C3380CC4-5D6E-409C-BE32-E72D297353CC}">
                <c16:uniqueId val="{00000000-18E0-4042-8F50-DAB3935BF7C6}"/>
              </c:ext>
            </c:extLst>
          </c:dPt>
          <c:dPt>
            <c:idx val="5"/>
            <c:invertIfNegative val="0"/>
            <c:bubble3D val="0"/>
            <c:spPr>
              <a:solidFill>
                <a:srgbClr val="FFFF00"/>
              </a:solidFill>
            </c:spPr>
            <c:extLst>
              <c:ext xmlns:c16="http://schemas.microsoft.com/office/drawing/2014/chart" uri="{C3380CC4-5D6E-409C-BE32-E72D297353CC}">
                <c16:uniqueId val="{00000001-18E0-4042-8F50-DAB3935BF7C6}"/>
              </c:ext>
            </c:extLst>
          </c:dPt>
          <c:dLbls>
            <c:spPr>
              <a:noFill/>
              <a:ln w="25400">
                <a:noFill/>
              </a:ln>
            </c:spPr>
            <c:txPr>
              <a:bodyPr wrap="square" lIns="38100" tIns="19050" rIns="38100" bIns="19050" anchor="ctr">
                <a:spAutoFit/>
              </a:bodyPr>
              <a:lstStyle/>
              <a:p>
                <a:pPr>
                  <a:defRPr sz="105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OAC!$A$17:$A$47</c:f>
              <c:strCache>
                <c:ptCount val="31"/>
                <c:pt idx="0">
                  <c:v>Registro Civil</c:v>
                </c:pt>
                <c:pt idx="1">
                  <c:v>Certificado firma Notario</c:v>
                </c:pt>
                <c:pt idx="2">
                  <c:v>Demora Tràmite Notarial</c:v>
                </c:pt>
                <c:pt idx="3">
                  <c:v>Direcciòn y telèfonos de Notarias</c:v>
                </c:pt>
                <c:pt idx="4">
                  <c:v>Informaciòn General</c:v>
                </c:pt>
                <c:pt idx="5">
                  <c:v>N - Otros </c:v>
                </c:pt>
                <c:pt idx="6">
                  <c:v>Reparto Notarial</c:v>
                </c:pt>
                <c:pt idx="7">
                  <c:v>Trpamite Notarial</c:v>
                </c:pt>
                <c:pt idx="8">
                  <c:v>Tràmite Registral</c:v>
                </c:pt>
                <c:pt idx="9">
                  <c:v>Àreas y Linderos</c:v>
                </c:pt>
                <c:pt idx="10">
                  <c:v>Cìrculo Registral</c:v>
                </c:pt>
                <c:pt idx="11">
                  <c:v>Indice de Propietarios</c:v>
                </c:pt>
                <c:pt idx="12">
                  <c:v>Correcciòn Notas Devolutivas</c:v>
                </c:pt>
                <c:pt idx="13">
                  <c:v>Demora Tràmite Registral</c:v>
                </c:pt>
                <c:pt idx="14">
                  <c:v>Estado Radicado</c:v>
                </c:pt>
                <c:pt idx="15">
                  <c:v>Estado Recursos de Apelaciòn </c:v>
                </c:pt>
                <c:pt idx="16">
                  <c:v>Mala prestaciòn del servicio registral</c:v>
                </c:pt>
                <c:pt idx="17">
                  <c:v>Restituciòn de Armero</c:v>
                </c:pt>
                <c:pt idx="18">
                  <c:v>Sucesiòn </c:v>
                </c:pt>
                <c:pt idx="19">
                  <c:v>Direcciòn y telèfonos de ORIP</c:v>
                </c:pt>
                <c:pt idx="20">
                  <c:v>Tràmite SNR</c:v>
                </c:pt>
                <c:pt idx="21">
                  <c:v>Liquidaciòn Derechos Notariales</c:v>
                </c:pt>
                <c:pt idx="22">
                  <c:v>Mala prestaciòn del servicio notarial</c:v>
                </c:pt>
                <c:pt idx="23">
                  <c:v>No competente</c:v>
                </c:pt>
                <c:pt idx="24">
                  <c:v>Demora solicitud de correcciòn</c:v>
                </c:pt>
                <c:pt idx="25">
                  <c:v>Devoluciòn de dinero</c:v>
                </c:pt>
                <c:pt idx="26">
                  <c:v>Escritura Aclaratoria</c:v>
                </c:pt>
                <c:pt idx="27">
                  <c:v>Restituciòn de Armero</c:v>
                </c:pt>
                <c:pt idx="28">
                  <c:v>Liquidaciòn Derechos de Registro</c:v>
                </c:pt>
                <c:pt idx="29">
                  <c:v>Pèrdida recibos de caja</c:v>
                </c:pt>
                <c:pt idx="30">
                  <c:v>Tràmite Catastro</c:v>
                </c:pt>
              </c:strCache>
            </c:strRef>
          </c:cat>
          <c:val>
            <c:numRef>
              <c:f>OAC!$C$17:$C$47</c:f>
              <c:numCache>
                <c:formatCode>0%</c:formatCode>
                <c:ptCount val="31"/>
                <c:pt idx="0">
                  <c:v>1.5151515151515152E-2</c:v>
                </c:pt>
                <c:pt idx="1">
                  <c:v>3.0991735537190084E-3</c:v>
                </c:pt>
                <c:pt idx="2">
                  <c:v>1.7217630853994491E-3</c:v>
                </c:pt>
                <c:pt idx="3">
                  <c:v>7.2314049586776862E-3</c:v>
                </c:pt>
                <c:pt idx="4">
                  <c:v>0.60296143250688705</c:v>
                </c:pt>
                <c:pt idx="5">
                  <c:v>0.13016528925619836</c:v>
                </c:pt>
                <c:pt idx="6">
                  <c:v>2.7548209366391185E-3</c:v>
                </c:pt>
                <c:pt idx="7">
                  <c:v>1.7217630853994491E-3</c:v>
                </c:pt>
                <c:pt idx="8">
                  <c:v>4.3044077134986224E-2</c:v>
                </c:pt>
                <c:pt idx="9">
                  <c:v>3.4435261707988982E-4</c:v>
                </c:pt>
                <c:pt idx="10">
                  <c:v>1.0330578512396695E-3</c:v>
                </c:pt>
                <c:pt idx="11">
                  <c:v>6.1983471074380167E-3</c:v>
                </c:pt>
                <c:pt idx="12">
                  <c:v>7.575757575757576E-3</c:v>
                </c:pt>
                <c:pt idx="13">
                  <c:v>4.2011019283746558E-2</c:v>
                </c:pt>
                <c:pt idx="14">
                  <c:v>1.4462809917355372E-2</c:v>
                </c:pt>
                <c:pt idx="15">
                  <c:v>5.3374655647382918E-2</c:v>
                </c:pt>
                <c:pt idx="16">
                  <c:v>2.3071625344352618E-2</c:v>
                </c:pt>
                <c:pt idx="17">
                  <c:v>1.3774104683195593E-3</c:v>
                </c:pt>
                <c:pt idx="18">
                  <c:v>3.4435261707988982E-4</c:v>
                </c:pt>
                <c:pt idx="19">
                  <c:v>5.8539944903581269E-3</c:v>
                </c:pt>
                <c:pt idx="20">
                  <c:v>1.4807162534435262E-2</c:v>
                </c:pt>
                <c:pt idx="21">
                  <c:v>6.8870523415977963E-4</c:v>
                </c:pt>
                <c:pt idx="22">
                  <c:v>1.3774104683195593E-3</c:v>
                </c:pt>
                <c:pt idx="23">
                  <c:v>4.8209366391184574E-3</c:v>
                </c:pt>
                <c:pt idx="24">
                  <c:v>7.575757575757576E-3</c:v>
                </c:pt>
                <c:pt idx="25">
                  <c:v>6.8870523415977963E-4</c:v>
                </c:pt>
                <c:pt idx="26">
                  <c:v>3.4435261707988982E-4</c:v>
                </c:pt>
                <c:pt idx="27">
                  <c:v>6.8870523415977963E-4</c:v>
                </c:pt>
                <c:pt idx="28">
                  <c:v>4.4765840220385676E-3</c:v>
                </c:pt>
                <c:pt idx="29">
                  <c:v>3.4435261707988982E-4</c:v>
                </c:pt>
                <c:pt idx="30">
                  <c:v>6.8870523415977963E-4</c:v>
                </c:pt>
              </c:numCache>
            </c:numRef>
          </c:val>
          <c:extLst>
            <c:ext xmlns:c16="http://schemas.microsoft.com/office/drawing/2014/chart" uri="{C3380CC4-5D6E-409C-BE32-E72D297353CC}">
              <c16:uniqueId val="{00000002-18E0-4042-8F50-DAB3935BF7C6}"/>
            </c:ext>
          </c:extLst>
        </c:ser>
        <c:dLbls>
          <c:showLegendKey val="0"/>
          <c:showVal val="0"/>
          <c:showCatName val="0"/>
          <c:showSerName val="0"/>
          <c:showPercent val="0"/>
          <c:showBubbleSize val="0"/>
        </c:dLbls>
        <c:gapWidth val="150"/>
        <c:axId val="50592192"/>
        <c:axId val="1"/>
      </c:barChart>
      <c:catAx>
        <c:axId val="50592192"/>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0592192"/>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66666666666666E-2"/>
          <c:y val="4.8611111111111112E-2"/>
          <c:w val="0.87708333333333333"/>
          <c:h val="0.5"/>
        </c:manualLayout>
      </c:layout>
      <c:barChart>
        <c:barDir val="col"/>
        <c:grouping val="clustered"/>
        <c:varyColors val="0"/>
        <c:ser>
          <c:idx val="0"/>
          <c:order val="0"/>
          <c:spPr>
            <a:solidFill>
              <a:srgbClr val="92D050"/>
            </a:solidFill>
          </c:spPr>
          <c:invertIfNegative val="0"/>
          <c:dPt>
            <c:idx val="1"/>
            <c:invertIfNegative val="0"/>
            <c:bubble3D val="0"/>
            <c:spPr>
              <a:solidFill>
                <a:schemeClr val="accent6">
                  <a:lumMod val="75000"/>
                </a:schemeClr>
              </a:solidFill>
            </c:spPr>
            <c:extLst>
              <c:ext xmlns:c16="http://schemas.microsoft.com/office/drawing/2014/chart" uri="{C3380CC4-5D6E-409C-BE32-E72D297353CC}">
                <c16:uniqueId val="{00000000-F6ED-4F1C-9C6E-570C9854F8D6}"/>
              </c:ext>
            </c:extLst>
          </c:dPt>
          <c:dPt>
            <c:idx val="2"/>
            <c:invertIfNegative val="0"/>
            <c:bubble3D val="0"/>
            <c:spPr>
              <a:solidFill>
                <a:srgbClr val="FFFF00"/>
              </a:solidFill>
            </c:spPr>
            <c:extLst>
              <c:ext xmlns:c16="http://schemas.microsoft.com/office/drawing/2014/chart" uri="{C3380CC4-5D6E-409C-BE32-E72D297353CC}">
                <c16:uniqueId val="{00000001-F6ED-4F1C-9C6E-570C9854F8D6}"/>
              </c:ext>
            </c:extLst>
          </c:dPt>
          <c:dLbls>
            <c:spPr>
              <a:noFill/>
              <a:ln w="25400">
                <a:noFill/>
              </a:ln>
            </c:spPr>
            <c:txPr>
              <a:bodyPr wrap="square" lIns="38100" tIns="19050" rIns="38100" bIns="19050" anchor="ctr">
                <a:spAutoFit/>
              </a:bodyPr>
              <a:lstStyle/>
              <a:p>
                <a:pPr>
                  <a:defRPr sz="105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OAC!$E$30:$E$36</c:f>
              <c:strCache>
                <c:ptCount val="7"/>
                <c:pt idx="0">
                  <c:v>Registro Civil</c:v>
                </c:pt>
                <c:pt idx="1">
                  <c:v>Informaciòn General</c:v>
                </c:pt>
                <c:pt idx="2">
                  <c:v>N - Otros </c:v>
                </c:pt>
                <c:pt idx="3">
                  <c:v>Tràmite Registral</c:v>
                </c:pt>
                <c:pt idx="4">
                  <c:v>Demora Tràmite Registral</c:v>
                </c:pt>
                <c:pt idx="5">
                  <c:v>Estado Recursos de Apelaciòn </c:v>
                </c:pt>
                <c:pt idx="6">
                  <c:v>Mala prestaciòn del servicio registral</c:v>
                </c:pt>
              </c:strCache>
            </c:strRef>
          </c:cat>
          <c:val>
            <c:numRef>
              <c:f>OAC!$G$30:$G$36</c:f>
              <c:numCache>
                <c:formatCode>0%</c:formatCode>
                <c:ptCount val="7"/>
                <c:pt idx="0">
                  <c:v>1.5151515151515152E-2</c:v>
                </c:pt>
                <c:pt idx="1">
                  <c:v>0.60296143250688705</c:v>
                </c:pt>
                <c:pt idx="2">
                  <c:v>0.13016528925619836</c:v>
                </c:pt>
                <c:pt idx="3">
                  <c:v>4.3044077134986224E-2</c:v>
                </c:pt>
                <c:pt idx="4">
                  <c:v>4.2011019283746558E-2</c:v>
                </c:pt>
                <c:pt idx="5">
                  <c:v>5.3374655647382918E-2</c:v>
                </c:pt>
                <c:pt idx="6">
                  <c:v>2.3071625344352618E-2</c:v>
                </c:pt>
              </c:numCache>
            </c:numRef>
          </c:val>
          <c:extLst>
            <c:ext xmlns:c16="http://schemas.microsoft.com/office/drawing/2014/chart" uri="{C3380CC4-5D6E-409C-BE32-E72D297353CC}">
              <c16:uniqueId val="{00000002-F6ED-4F1C-9C6E-570C9854F8D6}"/>
            </c:ext>
          </c:extLst>
        </c:ser>
        <c:dLbls>
          <c:showLegendKey val="0"/>
          <c:showVal val="0"/>
          <c:showCatName val="0"/>
          <c:showSerName val="0"/>
          <c:showPercent val="0"/>
          <c:showBubbleSize val="0"/>
        </c:dLbls>
        <c:gapWidth val="150"/>
        <c:axId val="50585232"/>
        <c:axId val="1"/>
      </c:barChart>
      <c:catAx>
        <c:axId val="50585232"/>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0585232"/>
        <c:crosses val="autoZero"/>
        <c:crossBetween val="between"/>
      </c:valAx>
    </c:plotArea>
    <c:plotVisOnly val="1"/>
    <c:dispBlanksAs val="gap"/>
    <c:showDLblsOverMax val="0"/>
  </c:chart>
  <c:spPr>
    <a:scene3d>
      <a:camera prst="orthographicFront"/>
      <a:lightRig rig="threePt" dir="t"/>
    </a:scene3d>
    <a:sp3d>
      <a:bevelT/>
    </a:sp3d>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3.0555555555555555E-2"/>
          <c:y val="5.5555555555555552E-2"/>
          <c:w val="0.58239020122484686"/>
          <c:h val="0.89814814814814814"/>
        </c:manualLayout>
      </c:layout>
      <c:pie3DChart>
        <c:varyColors val="1"/>
        <c:ser>
          <c:idx val="0"/>
          <c:order val="0"/>
          <c:spPr>
            <a:ln>
              <a:solidFill>
                <a:schemeClr val="tx1"/>
              </a:solidFill>
            </a:ln>
          </c:spPr>
          <c:explosion val="25"/>
          <c:dPt>
            <c:idx val="0"/>
            <c:bubble3D val="0"/>
            <c:spPr>
              <a:solidFill>
                <a:srgbClr val="92D050"/>
              </a:solidFill>
              <a:ln>
                <a:solidFill>
                  <a:schemeClr val="tx1"/>
                </a:solidFill>
              </a:ln>
            </c:spPr>
            <c:extLst>
              <c:ext xmlns:c16="http://schemas.microsoft.com/office/drawing/2014/chart" uri="{C3380CC4-5D6E-409C-BE32-E72D297353CC}">
                <c16:uniqueId val="{00000000-E93C-4337-958F-7A4EAD85AE82}"/>
              </c:ext>
            </c:extLst>
          </c:dPt>
          <c:dPt>
            <c:idx val="1"/>
            <c:bubble3D val="0"/>
            <c:spPr>
              <a:solidFill>
                <a:srgbClr val="C00000"/>
              </a:solidFill>
              <a:ln>
                <a:solidFill>
                  <a:schemeClr val="tx1"/>
                </a:solidFill>
              </a:ln>
            </c:spPr>
            <c:extLst>
              <c:ext xmlns:c16="http://schemas.microsoft.com/office/drawing/2014/chart" uri="{C3380CC4-5D6E-409C-BE32-E72D297353CC}">
                <c16:uniqueId val="{00000001-E93C-4337-958F-7A4EAD85AE82}"/>
              </c:ext>
            </c:extLst>
          </c:dPt>
          <c:dPt>
            <c:idx val="2"/>
            <c:bubble3D val="0"/>
            <c:spPr>
              <a:solidFill>
                <a:srgbClr val="FF0000"/>
              </a:solidFill>
              <a:ln>
                <a:solidFill>
                  <a:schemeClr val="tx1"/>
                </a:solidFill>
              </a:ln>
            </c:spPr>
            <c:extLst>
              <c:ext xmlns:c16="http://schemas.microsoft.com/office/drawing/2014/chart" uri="{C3380CC4-5D6E-409C-BE32-E72D297353CC}">
                <c16:uniqueId val="{00000002-E93C-4337-958F-7A4EAD85AE82}"/>
              </c:ext>
            </c:extLst>
          </c:dPt>
          <c:dLbls>
            <c:spPr>
              <a:noFill/>
              <a:ln w="25400">
                <a:noFill/>
              </a:ln>
            </c:spPr>
            <c:txPr>
              <a:bodyPr wrap="square" lIns="38100" tIns="19050" rIns="38100" bIns="19050" anchor="ctr">
                <a:spAutoFit/>
              </a:bodyPr>
              <a:lstStyle/>
              <a:p>
                <a:pPr>
                  <a:defRPr sz="115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ORIP!$B$79:$D$79</c:f>
              <c:strCache>
                <c:ptCount val="3"/>
                <c:pt idx="0">
                  <c:v>PQRS respondidas a tiempo (15 dìas hàbiles)</c:v>
                </c:pt>
                <c:pt idx="1">
                  <c:v>PQRS respondidas fuera de tiempo (màs de 15 dìas hàbiles)</c:v>
                </c:pt>
                <c:pt idx="2">
                  <c:v>PQRS sin responder</c:v>
                </c:pt>
              </c:strCache>
            </c:strRef>
          </c:cat>
          <c:val>
            <c:numRef>
              <c:f>ORIP!$B$81:$D$81</c:f>
              <c:numCache>
                <c:formatCode>0%</c:formatCode>
                <c:ptCount val="3"/>
                <c:pt idx="0">
                  <c:v>0.28915662650602408</c:v>
                </c:pt>
                <c:pt idx="1">
                  <c:v>1.2048192771084338E-2</c:v>
                </c:pt>
                <c:pt idx="2">
                  <c:v>0.6987951807228916</c:v>
                </c:pt>
              </c:numCache>
            </c:numRef>
          </c:val>
          <c:extLst>
            <c:ext xmlns:c16="http://schemas.microsoft.com/office/drawing/2014/chart" uri="{C3380CC4-5D6E-409C-BE32-E72D297353CC}">
              <c16:uniqueId val="{00000003-E93C-4337-958F-7A4EAD85AE82}"/>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wMode val="edge"/>
          <c:hMode val="edge"/>
          <c:x val="0.65695525285616674"/>
          <c:y val="0.33601175853018372"/>
          <c:w val="0.97813335376873511"/>
          <c:h val="0.66002309711286089"/>
        </c:manualLayout>
      </c:layout>
      <c:overlay val="0"/>
      <c:txPr>
        <a:bodyPr/>
        <a:lstStyle/>
        <a:p>
          <a:pPr>
            <a:defRPr sz="460" b="0" i="0" u="none" strike="noStrike" baseline="0">
              <a:solidFill>
                <a:srgbClr val="000000"/>
              </a:solidFill>
              <a:latin typeface="Calibri"/>
              <a:ea typeface="Calibri"/>
              <a:cs typeface="Calibri"/>
            </a:defRPr>
          </a:pPr>
          <a:endParaRPr lang="en-US"/>
        </a:p>
      </c:txPr>
    </c:legend>
    <c:plotVisOnly val="1"/>
    <c:dispBlanksAs val="zero"/>
    <c:showDLblsOverMax val="0"/>
  </c:chart>
  <c:spPr>
    <a:scene3d>
      <a:camera prst="orthographicFront"/>
      <a:lightRig rig="threePt" dir="t"/>
    </a:scene3d>
    <a:sp3d>
      <a:bevelT/>
    </a:sp3d>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ln>
              <a:solidFill>
                <a:schemeClr val="tx1"/>
              </a:solidFill>
            </a:ln>
          </c:spPr>
          <c:invertIfNegative val="0"/>
          <c:dPt>
            <c:idx val="0"/>
            <c:invertIfNegative val="0"/>
            <c:bubble3D val="0"/>
            <c:spPr>
              <a:solidFill>
                <a:srgbClr val="FFC000"/>
              </a:solidFill>
              <a:ln>
                <a:solidFill>
                  <a:schemeClr val="tx1"/>
                </a:solidFill>
              </a:ln>
            </c:spPr>
            <c:extLst>
              <c:ext xmlns:c16="http://schemas.microsoft.com/office/drawing/2014/chart" uri="{C3380CC4-5D6E-409C-BE32-E72D297353CC}">
                <c16:uniqueId val="{00000000-AAC8-40A0-9C74-CF7FC6510C0D}"/>
              </c:ext>
            </c:extLst>
          </c:dPt>
          <c:dPt>
            <c:idx val="1"/>
            <c:invertIfNegative val="0"/>
            <c:bubble3D val="0"/>
            <c:spPr>
              <a:solidFill>
                <a:srgbClr val="FF0000"/>
              </a:solidFill>
              <a:ln>
                <a:solidFill>
                  <a:schemeClr val="tx1"/>
                </a:solidFill>
              </a:ln>
            </c:spPr>
            <c:extLst>
              <c:ext xmlns:c16="http://schemas.microsoft.com/office/drawing/2014/chart" uri="{C3380CC4-5D6E-409C-BE32-E72D297353CC}">
                <c16:uniqueId val="{00000001-AAC8-40A0-9C74-CF7FC6510C0D}"/>
              </c:ext>
            </c:extLst>
          </c:dPt>
          <c:dPt>
            <c:idx val="2"/>
            <c:invertIfNegative val="0"/>
            <c:bubble3D val="0"/>
            <c:spPr>
              <a:solidFill>
                <a:srgbClr val="92D050"/>
              </a:solidFill>
              <a:ln>
                <a:solidFill>
                  <a:schemeClr val="tx1"/>
                </a:solidFill>
              </a:ln>
            </c:spPr>
            <c:extLst>
              <c:ext xmlns:c16="http://schemas.microsoft.com/office/drawing/2014/chart" uri="{C3380CC4-5D6E-409C-BE32-E72D297353CC}">
                <c16:uniqueId val="{00000002-AAC8-40A0-9C74-CF7FC6510C0D}"/>
              </c:ext>
            </c:extLst>
          </c:dPt>
          <c:dPt>
            <c:idx val="3"/>
            <c:invertIfNegative val="0"/>
            <c:bubble3D val="0"/>
            <c:spPr>
              <a:solidFill>
                <a:srgbClr val="FFFF00"/>
              </a:solidFill>
              <a:ln>
                <a:solidFill>
                  <a:schemeClr val="tx1"/>
                </a:solidFill>
              </a:ln>
            </c:spPr>
            <c:extLst>
              <c:ext xmlns:c16="http://schemas.microsoft.com/office/drawing/2014/chart" uri="{C3380CC4-5D6E-409C-BE32-E72D297353CC}">
                <c16:uniqueId val="{00000003-AAC8-40A0-9C74-CF7FC6510C0D}"/>
              </c:ext>
            </c:extLst>
          </c:dPt>
          <c:dPt>
            <c:idx val="4"/>
            <c:invertIfNegative val="0"/>
            <c:bubble3D val="0"/>
            <c:spPr>
              <a:solidFill>
                <a:srgbClr val="92D050"/>
              </a:solidFill>
              <a:ln>
                <a:solidFill>
                  <a:schemeClr val="tx1"/>
                </a:solidFill>
              </a:ln>
            </c:spPr>
            <c:extLst>
              <c:ext xmlns:c16="http://schemas.microsoft.com/office/drawing/2014/chart" uri="{C3380CC4-5D6E-409C-BE32-E72D297353CC}">
                <c16:uniqueId val="{00000004-AAC8-40A0-9C74-CF7FC6510C0D}"/>
              </c:ext>
            </c:extLst>
          </c:dPt>
          <c:dPt>
            <c:idx val="5"/>
            <c:invertIfNegative val="0"/>
            <c:bubble3D val="0"/>
            <c:spPr>
              <a:solidFill>
                <a:srgbClr val="92D050"/>
              </a:solidFill>
              <a:ln>
                <a:solidFill>
                  <a:schemeClr val="tx1"/>
                </a:solidFill>
              </a:ln>
            </c:spPr>
            <c:extLst>
              <c:ext xmlns:c16="http://schemas.microsoft.com/office/drawing/2014/chart" uri="{C3380CC4-5D6E-409C-BE32-E72D297353CC}">
                <c16:uniqueId val="{00000005-AAC8-40A0-9C74-CF7FC6510C0D}"/>
              </c:ext>
            </c:extLst>
          </c:dPt>
          <c:dLbls>
            <c:spPr>
              <a:noFill/>
              <a:ln w="25400">
                <a:noFill/>
              </a:ln>
            </c:spPr>
            <c:txPr>
              <a:bodyPr wrap="square" lIns="38100" tIns="19050" rIns="38100" bIns="19050" anchor="ctr">
                <a:spAutoFit/>
              </a:bodyPr>
              <a:lstStyle/>
              <a:p>
                <a:pPr>
                  <a:defRPr sz="11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ORIP!$L$79:$L$84</c:f>
              <c:strCache>
                <c:ptCount val="6"/>
                <c:pt idx="0">
                  <c:v>Solicitud</c:v>
                </c:pt>
                <c:pt idx="1">
                  <c:v>Reclamo</c:v>
                </c:pt>
                <c:pt idx="2">
                  <c:v>Derecho de Peticiòn</c:v>
                </c:pt>
                <c:pt idx="3">
                  <c:v>Queja</c:v>
                </c:pt>
                <c:pt idx="4">
                  <c:v>Estado Radicado</c:v>
                </c:pt>
                <c:pt idx="5">
                  <c:v>Notificaciòn</c:v>
                </c:pt>
              </c:strCache>
            </c:strRef>
          </c:cat>
          <c:val>
            <c:numRef>
              <c:f>ORIP!$N$79:$N$84</c:f>
              <c:numCache>
                <c:formatCode>0%</c:formatCode>
                <c:ptCount val="6"/>
                <c:pt idx="0">
                  <c:v>0.27108433734939757</c:v>
                </c:pt>
                <c:pt idx="1">
                  <c:v>0.5</c:v>
                </c:pt>
                <c:pt idx="2">
                  <c:v>1.2048192771084338E-2</c:v>
                </c:pt>
                <c:pt idx="3">
                  <c:v>0.16265060240963855</c:v>
                </c:pt>
                <c:pt idx="4">
                  <c:v>2.4096385542168676E-2</c:v>
                </c:pt>
                <c:pt idx="5">
                  <c:v>3.0120481927710843E-2</c:v>
                </c:pt>
              </c:numCache>
            </c:numRef>
          </c:val>
          <c:extLst>
            <c:ext xmlns:c16="http://schemas.microsoft.com/office/drawing/2014/chart" uri="{C3380CC4-5D6E-409C-BE32-E72D297353CC}">
              <c16:uniqueId val="{00000006-AAC8-40A0-9C74-CF7FC6510C0D}"/>
            </c:ext>
          </c:extLst>
        </c:ser>
        <c:dLbls>
          <c:showLegendKey val="0"/>
          <c:showVal val="0"/>
          <c:showCatName val="0"/>
          <c:showSerName val="0"/>
          <c:showPercent val="0"/>
          <c:showBubbleSize val="0"/>
        </c:dLbls>
        <c:gapWidth val="150"/>
        <c:axId val="50588480"/>
        <c:axId val="1"/>
      </c:barChart>
      <c:catAx>
        <c:axId val="50588480"/>
        <c:scaling>
          <c:orientation val="minMax"/>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b"/>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0588480"/>
        <c:crosses val="autoZero"/>
        <c:crossBetween val="between"/>
      </c:valAx>
    </c:plotArea>
    <c:plotVisOnly val="1"/>
    <c:dispBlanksAs val="gap"/>
    <c:showDLblsOverMax val="0"/>
  </c:chart>
  <c:spPr>
    <a:scene3d>
      <a:camera prst="orthographicFront"/>
      <a:lightRig rig="threePt" dir="t"/>
    </a:scene3d>
    <a:sp3d>
      <a:bevelT/>
    </a:sp3d>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ln>
              <a:solidFill>
                <a:prstClr val="black"/>
              </a:solidFill>
            </a:ln>
          </c:spPr>
          <c:invertIfNegative val="0"/>
          <c:dPt>
            <c:idx val="0"/>
            <c:invertIfNegative val="0"/>
            <c:bubble3D val="0"/>
            <c:spPr>
              <a:solidFill>
                <a:srgbClr val="92D050"/>
              </a:solidFill>
              <a:ln>
                <a:solidFill>
                  <a:prstClr val="black"/>
                </a:solidFill>
              </a:ln>
            </c:spPr>
            <c:extLst>
              <c:ext xmlns:c16="http://schemas.microsoft.com/office/drawing/2014/chart" uri="{C3380CC4-5D6E-409C-BE32-E72D297353CC}">
                <c16:uniqueId val="{00000000-8F56-4E83-9E0A-E081D9FAB3D2}"/>
              </c:ext>
            </c:extLst>
          </c:dPt>
          <c:dPt>
            <c:idx val="1"/>
            <c:invertIfNegative val="0"/>
            <c:bubble3D val="0"/>
            <c:spPr>
              <a:solidFill>
                <a:srgbClr val="FFC000"/>
              </a:solidFill>
              <a:ln>
                <a:solidFill>
                  <a:prstClr val="black"/>
                </a:solidFill>
              </a:ln>
            </c:spPr>
            <c:extLst>
              <c:ext xmlns:c16="http://schemas.microsoft.com/office/drawing/2014/chart" uri="{C3380CC4-5D6E-409C-BE32-E72D297353CC}">
                <c16:uniqueId val="{00000001-8F56-4E83-9E0A-E081D9FAB3D2}"/>
              </c:ext>
            </c:extLst>
          </c:dPt>
          <c:dPt>
            <c:idx val="2"/>
            <c:invertIfNegative val="0"/>
            <c:bubble3D val="0"/>
            <c:spPr>
              <a:solidFill>
                <a:srgbClr val="92D050"/>
              </a:solidFill>
              <a:ln>
                <a:solidFill>
                  <a:prstClr val="black"/>
                </a:solidFill>
              </a:ln>
            </c:spPr>
            <c:extLst>
              <c:ext xmlns:c16="http://schemas.microsoft.com/office/drawing/2014/chart" uri="{C3380CC4-5D6E-409C-BE32-E72D297353CC}">
                <c16:uniqueId val="{00000002-8F56-4E83-9E0A-E081D9FAB3D2}"/>
              </c:ext>
            </c:extLst>
          </c:dPt>
          <c:dPt>
            <c:idx val="3"/>
            <c:invertIfNegative val="0"/>
            <c:bubble3D val="0"/>
            <c:spPr>
              <a:solidFill>
                <a:srgbClr val="FF0000"/>
              </a:solidFill>
              <a:ln>
                <a:solidFill>
                  <a:prstClr val="black"/>
                </a:solidFill>
              </a:ln>
            </c:spPr>
            <c:extLst>
              <c:ext xmlns:c16="http://schemas.microsoft.com/office/drawing/2014/chart" uri="{C3380CC4-5D6E-409C-BE32-E72D297353CC}">
                <c16:uniqueId val="{00000003-8F56-4E83-9E0A-E081D9FAB3D2}"/>
              </c:ext>
            </c:extLst>
          </c:dPt>
          <c:dPt>
            <c:idx val="4"/>
            <c:invertIfNegative val="0"/>
            <c:bubble3D val="0"/>
            <c:spPr>
              <a:solidFill>
                <a:srgbClr val="FFFF00"/>
              </a:solidFill>
              <a:ln>
                <a:solidFill>
                  <a:prstClr val="black"/>
                </a:solidFill>
              </a:ln>
            </c:spPr>
            <c:extLst>
              <c:ext xmlns:c16="http://schemas.microsoft.com/office/drawing/2014/chart" uri="{C3380CC4-5D6E-409C-BE32-E72D297353CC}">
                <c16:uniqueId val="{00000004-8F56-4E83-9E0A-E081D9FAB3D2}"/>
              </c:ext>
            </c:extLst>
          </c:dPt>
          <c:dPt>
            <c:idx val="5"/>
            <c:invertIfNegative val="0"/>
            <c:bubble3D val="0"/>
            <c:spPr>
              <a:solidFill>
                <a:srgbClr val="92D050"/>
              </a:solidFill>
              <a:ln>
                <a:solidFill>
                  <a:prstClr val="black"/>
                </a:solidFill>
              </a:ln>
            </c:spPr>
            <c:extLst>
              <c:ext xmlns:c16="http://schemas.microsoft.com/office/drawing/2014/chart" uri="{C3380CC4-5D6E-409C-BE32-E72D297353CC}">
                <c16:uniqueId val="{00000005-8F56-4E83-9E0A-E081D9FAB3D2}"/>
              </c:ext>
            </c:extLst>
          </c:dPt>
          <c:dPt>
            <c:idx val="6"/>
            <c:invertIfNegative val="0"/>
            <c:bubble3D val="0"/>
            <c:spPr>
              <a:solidFill>
                <a:srgbClr val="92D050"/>
              </a:solidFill>
              <a:ln>
                <a:solidFill>
                  <a:prstClr val="black"/>
                </a:solidFill>
              </a:ln>
            </c:spPr>
            <c:extLst>
              <c:ext xmlns:c16="http://schemas.microsoft.com/office/drawing/2014/chart" uri="{C3380CC4-5D6E-409C-BE32-E72D297353CC}">
                <c16:uniqueId val="{00000006-8F56-4E83-9E0A-E081D9FAB3D2}"/>
              </c:ext>
            </c:extLst>
          </c:dPt>
          <c:dPt>
            <c:idx val="7"/>
            <c:invertIfNegative val="0"/>
            <c:bubble3D val="0"/>
            <c:spPr>
              <a:solidFill>
                <a:srgbClr val="92D050"/>
              </a:solidFill>
              <a:ln>
                <a:solidFill>
                  <a:prstClr val="black"/>
                </a:solidFill>
              </a:ln>
            </c:spPr>
            <c:extLst>
              <c:ext xmlns:c16="http://schemas.microsoft.com/office/drawing/2014/chart" uri="{C3380CC4-5D6E-409C-BE32-E72D297353CC}">
                <c16:uniqueId val="{00000007-8F56-4E83-9E0A-E081D9FAB3D2}"/>
              </c:ext>
            </c:extLst>
          </c:dPt>
          <c:dPt>
            <c:idx val="8"/>
            <c:invertIfNegative val="0"/>
            <c:bubble3D val="0"/>
            <c:spPr>
              <a:solidFill>
                <a:srgbClr val="92D050"/>
              </a:solidFill>
              <a:ln>
                <a:solidFill>
                  <a:prstClr val="black"/>
                </a:solidFill>
              </a:ln>
            </c:spPr>
            <c:extLst>
              <c:ext xmlns:c16="http://schemas.microsoft.com/office/drawing/2014/chart" uri="{C3380CC4-5D6E-409C-BE32-E72D297353CC}">
                <c16:uniqueId val="{00000008-8F56-4E83-9E0A-E081D9FAB3D2}"/>
              </c:ext>
            </c:extLst>
          </c:dPt>
          <c:dPt>
            <c:idx val="9"/>
            <c:invertIfNegative val="0"/>
            <c:bubble3D val="0"/>
            <c:spPr>
              <a:solidFill>
                <a:srgbClr val="92D050"/>
              </a:solidFill>
              <a:ln>
                <a:solidFill>
                  <a:prstClr val="black"/>
                </a:solidFill>
              </a:ln>
            </c:spPr>
            <c:extLst>
              <c:ext xmlns:c16="http://schemas.microsoft.com/office/drawing/2014/chart" uri="{C3380CC4-5D6E-409C-BE32-E72D297353CC}">
                <c16:uniqueId val="{00000009-8F56-4E83-9E0A-E081D9FAB3D2}"/>
              </c:ext>
            </c:extLst>
          </c:dPt>
          <c:dPt>
            <c:idx val="10"/>
            <c:invertIfNegative val="0"/>
            <c:bubble3D val="0"/>
            <c:spPr>
              <a:solidFill>
                <a:srgbClr val="92D050"/>
              </a:solidFill>
              <a:ln>
                <a:solidFill>
                  <a:prstClr val="black"/>
                </a:solidFill>
              </a:ln>
            </c:spPr>
            <c:extLst>
              <c:ext xmlns:c16="http://schemas.microsoft.com/office/drawing/2014/chart" uri="{C3380CC4-5D6E-409C-BE32-E72D297353CC}">
                <c16:uniqueId val="{0000000A-8F56-4E83-9E0A-E081D9FAB3D2}"/>
              </c:ext>
            </c:extLst>
          </c:dPt>
          <c:dLbls>
            <c:spPr>
              <a:noFill/>
              <a:ln w="25400">
                <a:noFill/>
              </a:ln>
            </c:spPr>
            <c:txPr>
              <a:bodyPr wrap="square" lIns="38100" tIns="19050" rIns="38100" bIns="19050" anchor="ctr">
                <a:spAutoFit/>
              </a:bodyPr>
              <a:lstStyle/>
              <a:p>
                <a:pPr>
                  <a:defRPr sz="11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ORIP!$B$90:$B$100</c:f>
              <c:strCache>
                <c:ptCount val="11"/>
                <c:pt idx="0">
                  <c:v>Solicitud correcciòn</c:v>
                </c:pt>
                <c:pt idx="1">
                  <c:v>Tràmite Registral</c:v>
                </c:pt>
                <c:pt idx="2">
                  <c:v>Estado Radicado</c:v>
                </c:pt>
                <c:pt idx="3">
                  <c:v>Demora tràmite registral</c:v>
                </c:pt>
                <c:pt idx="4">
                  <c:v>Mala prestaciòn del servicio</c:v>
                </c:pt>
                <c:pt idx="5">
                  <c:v>Actualizaciòn</c:v>
                </c:pt>
                <c:pt idx="6">
                  <c:v>Devoluciòn de dinero</c:v>
                </c:pt>
                <c:pt idx="7">
                  <c:v>Estado Recursos de apelaciòn</c:v>
                </c:pt>
                <c:pt idx="8">
                  <c:v>Notificaciòn </c:v>
                </c:pt>
                <c:pt idx="9">
                  <c:v>Îndice de Propietario</c:v>
                </c:pt>
                <c:pt idx="10">
                  <c:v>Denuncia</c:v>
                </c:pt>
              </c:strCache>
            </c:strRef>
          </c:cat>
          <c:val>
            <c:numRef>
              <c:f>ORIP!$D$90:$D$100</c:f>
              <c:numCache>
                <c:formatCode>0%</c:formatCode>
                <c:ptCount val="11"/>
                <c:pt idx="0">
                  <c:v>6.024096385542169E-3</c:v>
                </c:pt>
                <c:pt idx="1">
                  <c:v>0.33734939759036142</c:v>
                </c:pt>
                <c:pt idx="2">
                  <c:v>4.8192771084337352E-2</c:v>
                </c:pt>
                <c:pt idx="3">
                  <c:v>0.39759036144578314</c:v>
                </c:pt>
                <c:pt idx="4">
                  <c:v>0.12048192771084337</c:v>
                </c:pt>
                <c:pt idx="5">
                  <c:v>1.8072289156626505E-2</c:v>
                </c:pt>
                <c:pt idx="6">
                  <c:v>3.0120481927710843E-2</c:v>
                </c:pt>
                <c:pt idx="7">
                  <c:v>6.024096385542169E-3</c:v>
                </c:pt>
                <c:pt idx="8">
                  <c:v>1.8072289156626505E-2</c:v>
                </c:pt>
                <c:pt idx="9">
                  <c:v>1.2048192771084338E-2</c:v>
                </c:pt>
                <c:pt idx="10">
                  <c:v>6.024096385542169E-3</c:v>
                </c:pt>
              </c:numCache>
            </c:numRef>
          </c:val>
          <c:extLst>
            <c:ext xmlns:c16="http://schemas.microsoft.com/office/drawing/2014/chart" uri="{C3380CC4-5D6E-409C-BE32-E72D297353CC}">
              <c16:uniqueId val="{0000000B-8F56-4E83-9E0A-E081D9FAB3D2}"/>
            </c:ext>
          </c:extLst>
        </c:ser>
        <c:dLbls>
          <c:showLegendKey val="0"/>
          <c:showVal val="0"/>
          <c:showCatName val="0"/>
          <c:showSerName val="0"/>
          <c:showPercent val="0"/>
          <c:showBubbleSize val="0"/>
        </c:dLbls>
        <c:gapWidth val="150"/>
        <c:axId val="47080368"/>
        <c:axId val="1"/>
      </c:barChart>
      <c:catAx>
        <c:axId val="47080368"/>
        <c:scaling>
          <c:orientation val="minMax"/>
        </c:scaling>
        <c:delete val="0"/>
        <c:axPos val="l"/>
        <c:numFmt formatCode="General"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b"/>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080368"/>
        <c:crosses val="autoZero"/>
        <c:crossBetween val="between"/>
      </c:valAx>
    </c:plotArea>
    <c:plotVisOnly val="1"/>
    <c:dispBlanksAs val="gap"/>
    <c:showDLblsOverMax val="0"/>
  </c:chart>
  <c:spPr>
    <a:scene3d>
      <a:camera prst="orthographicFront"/>
      <a:lightRig rig="threePt" dir="t"/>
    </a:scene3d>
    <a:sp3d>
      <a:bevelT/>
    </a:sp3d>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3.0555555555555555E-2"/>
          <c:y val="3.7037037037037035E-2"/>
          <c:w val="0.73822353455818024"/>
          <c:h val="0.89814814814814814"/>
        </c:manualLayout>
      </c:layout>
      <c:pie3DChart>
        <c:varyColors val="1"/>
        <c:ser>
          <c:idx val="0"/>
          <c:order val="0"/>
          <c:spPr>
            <a:solidFill>
              <a:srgbClr val="FFCC66"/>
            </a:solidFill>
            <a:ln w="12700">
              <a:solidFill>
                <a:schemeClr val="tx1"/>
              </a:solidFill>
            </a:ln>
          </c:spPr>
          <c:explosion val="25"/>
          <c:dPt>
            <c:idx val="0"/>
            <c:bubble3D val="0"/>
            <c:extLst>
              <c:ext xmlns:c16="http://schemas.microsoft.com/office/drawing/2014/chart" uri="{C3380CC4-5D6E-409C-BE32-E72D297353CC}">
                <c16:uniqueId val="{00000000-7E72-49E5-8191-84585F9FD4CD}"/>
              </c:ext>
            </c:extLst>
          </c:dPt>
          <c:dPt>
            <c:idx val="1"/>
            <c:bubble3D val="0"/>
            <c:spPr>
              <a:solidFill>
                <a:schemeClr val="accent3">
                  <a:lumMod val="60000"/>
                  <a:lumOff val="40000"/>
                </a:schemeClr>
              </a:solidFill>
              <a:ln w="12700">
                <a:solidFill>
                  <a:schemeClr val="tx1"/>
                </a:solidFill>
              </a:ln>
            </c:spPr>
            <c:extLst>
              <c:ext xmlns:c16="http://schemas.microsoft.com/office/drawing/2014/chart" uri="{C3380CC4-5D6E-409C-BE32-E72D297353CC}">
                <c16:uniqueId val="{00000001-7E72-49E5-8191-84585F9FD4CD}"/>
              </c:ext>
            </c:extLst>
          </c:dPt>
          <c:dLbls>
            <c:dLbl>
              <c:idx val="0"/>
              <c:layout>
                <c:manualLayout>
                  <c:x val="-0.14187423000696336"/>
                  <c:y val="-0.32679648576862025"/>
                </c:manualLayout>
              </c:layout>
              <c:spPr>
                <a:noFill/>
                <a:ln w="25400">
                  <a:noFill/>
                </a:ln>
              </c:spPr>
              <c:txPr>
                <a:bodyPr/>
                <a:lstStyle/>
                <a:p>
                  <a:pPr>
                    <a:defRPr sz="1100" b="1" i="0" u="none" strike="noStrike" baseline="0">
                      <a:solidFill>
                        <a:srgbClr val="000000"/>
                      </a:solidFill>
                      <a:latin typeface="Calibri"/>
                      <a:ea typeface="Calibri"/>
                      <a:cs typeface="Calibri"/>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E72-49E5-8191-84585F9FD4CD}"/>
                </c:ext>
              </c:extLst>
            </c:dLbl>
            <c:spPr>
              <a:noFill/>
              <a:ln w="25400">
                <a:noFill/>
              </a:ln>
            </c:spPr>
            <c:txPr>
              <a:bodyPr wrap="square" lIns="38100" tIns="19050" rIns="38100" bIns="19050" anchor="ctr">
                <a:spAutoFit/>
              </a:bodyPr>
              <a:lstStyle/>
              <a:p>
                <a:pPr>
                  <a:defRPr sz="11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CTL!$C$2:$D$2</c:f>
              <c:strCache>
                <c:ptCount val="2"/>
                <c:pt idx="0">
                  <c:v>PRESENCIAL</c:v>
                </c:pt>
                <c:pt idx="1">
                  <c:v>TELEFONO</c:v>
                </c:pt>
              </c:strCache>
            </c:strRef>
          </c:cat>
          <c:val>
            <c:numRef>
              <c:f>CTL!$C$4:$D$4</c:f>
              <c:numCache>
                <c:formatCode>0%</c:formatCode>
                <c:ptCount val="2"/>
                <c:pt idx="0">
                  <c:v>6.0071942446043164E-2</c:v>
                </c:pt>
                <c:pt idx="1">
                  <c:v>1.2589928057553957E-2</c:v>
                </c:pt>
              </c:numCache>
            </c:numRef>
          </c:val>
          <c:extLst>
            <c:ext xmlns:c16="http://schemas.microsoft.com/office/drawing/2014/chart" uri="{C3380CC4-5D6E-409C-BE32-E72D297353CC}">
              <c16:uniqueId val="{00000002-7E72-49E5-8191-84585F9FD4CD}"/>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wMode val="edge"/>
          <c:hMode val="edge"/>
          <c:x val="0.76278108093631158"/>
          <c:y val="0.37126942964464771"/>
          <c:w val="0.98727837591729606"/>
          <c:h val="0.65870400930422623"/>
        </c:manualLayout>
      </c:layout>
      <c:overlay val="0"/>
      <c:txPr>
        <a:bodyPr/>
        <a:lstStyle/>
        <a:p>
          <a:pPr>
            <a:defRPr sz="460" b="0" i="0" u="none" strike="noStrike" baseline="0">
              <a:solidFill>
                <a:srgbClr val="000000"/>
              </a:solidFill>
              <a:latin typeface="Calibri"/>
              <a:ea typeface="Calibri"/>
              <a:cs typeface="Calibri"/>
            </a:defRPr>
          </a:pPr>
          <a:endParaRPr lang="en-US"/>
        </a:p>
      </c:txPr>
    </c:legend>
    <c:plotVisOnly val="0"/>
    <c:dispBlanksAs val="zero"/>
    <c:showDLblsOverMax val="0"/>
  </c:chart>
  <c:spPr>
    <a:scene3d>
      <a:camera prst="orthographicFront"/>
      <a:lightRig rig="threePt" dir="t"/>
    </a:scene3d>
    <a:sp3d>
      <a:bevelT w="139700" prst="cross"/>
    </a:sp3d>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705882352941183E-2"/>
          <c:y val="4.3539325842696631E-2"/>
          <c:w val="0.76470588235294112"/>
          <c:h val="0.8160112359550562"/>
        </c:manualLayout>
      </c:layout>
      <c:lineChart>
        <c:grouping val="standard"/>
        <c:varyColors val="0"/>
        <c:ser>
          <c:idx val="2"/>
          <c:order val="0"/>
          <c:tx>
            <c:strRef>
              <c:f>'Reporte de Datos '!$E$14</c:f>
              <c:strCache>
                <c:ptCount val="1"/>
                <c:pt idx="0">
                  <c:v>Promedio</c:v>
                </c:pt>
              </c:strCache>
            </c:strRef>
          </c:tx>
          <c:dLbls>
            <c:spPr>
              <a:noFill/>
              <a:ln w="25400">
                <a:noFill/>
              </a:ln>
            </c:spPr>
            <c:txPr>
              <a:bodyPr wrap="square" lIns="38100" tIns="19050" rIns="38100" bIns="19050" anchor="ctr">
                <a:spAutoFit/>
              </a:bodyPr>
              <a:lstStyle/>
              <a:p>
                <a:pPr>
                  <a:defRPr sz="1100" b="1"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'Reporte de Datos '!$F$7:$Q$7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'!$F$14:$Q$14</c:f>
              <c:numCache>
                <c:formatCode>0%</c:formatCode>
                <c:ptCount val="12"/>
                <c:pt idx="0">
                  <c:v>0.98394923478910046</c:v>
                </c:pt>
                <c:pt idx="1">
                  <c:v>0.96951435661113083</c:v>
                </c:pt>
                <c:pt idx="2">
                  <c:v>0.96103896103896103</c:v>
                </c:pt>
                <c:pt idx="3">
                  <c:v>0.98582677165354327</c:v>
                </c:pt>
                <c:pt idx="4">
                  <c:v>0.98012991975544517</c:v>
                </c:pt>
                <c:pt idx="5">
                  <c:v>0.97479674796747973</c:v>
                </c:pt>
                <c:pt idx="6">
                  <c:v>0.96112899232483284</c:v>
                </c:pt>
                <c:pt idx="7">
                  <c:v>0.98470046082949314</c:v>
                </c:pt>
                <c:pt idx="8">
                  <c:v>0.97082108120334765</c:v>
                </c:pt>
                <c:pt idx="9">
                  <c:v>0.97146819893005742</c:v>
                </c:pt>
                <c:pt idx="10">
                  <c:v>0.98197638284648847</c:v>
                </c:pt>
                <c:pt idx="11">
                  <c:v>0.98346253229974157</c:v>
                </c:pt>
              </c:numCache>
            </c:numRef>
          </c:val>
          <c:smooth val="0"/>
          <c:extLst>
            <c:ext xmlns:c16="http://schemas.microsoft.com/office/drawing/2014/chart" uri="{C3380CC4-5D6E-409C-BE32-E72D297353CC}">
              <c16:uniqueId val="{00000000-E689-42B3-8827-10A6A6150BF6}"/>
            </c:ext>
          </c:extLst>
        </c:ser>
        <c:ser>
          <c:idx val="3"/>
          <c:order val="1"/>
          <c:tx>
            <c:strRef>
              <c:f>'Reporte de Datos '!$E$15</c:f>
              <c:strCache>
                <c:ptCount val="1"/>
                <c:pt idx="0">
                  <c:v>META </c:v>
                </c:pt>
              </c:strCache>
            </c:strRef>
          </c:tx>
          <c:marker>
            <c:spPr>
              <a:solidFill>
                <a:srgbClr val="FF0000"/>
              </a:solidFill>
            </c:spPr>
          </c:marker>
          <c:cat>
            <c:strRef>
              <c:f>'Reporte de Datos '!$F$7:$Q$7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'!$F$15:$Q$15</c:f>
              <c:numCache>
                <c:formatCode>0%</c:formatCode>
                <c:ptCount val="12"/>
                <c:pt idx="0">
                  <c:v>0.98</c:v>
                </c:pt>
                <c:pt idx="1">
                  <c:v>0.98</c:v>
                </c:pt>
                <c:pt idx="2">
                  <c:v>0.98</c:v>
                </c:pt>
                <c:pt idx="3">
                  <c:v>0.98</c:v>
                </c:pt>
                <c:pt idx="4">
                  <c:v>0.98</c:v>
                </c:pt>
                <c:pt idx="5">
                  <c:v>0.98</c:v>
                </c:pt>
                <c:pt idx="6">
                  <c:v>0.98</c:v>
                </c:pt>
                <c:pt idx="7">
                  <c:v>0.98</c:v>
                </c:pt>
                <c:pt idx="8">
                  <c:v>0.98</c:v>
                </c:pt>
                <c:pt idx="9">
                  <c:v>0.98</c:v>
                </c:pt>
                <c:pt idx="10">
                  <c:v>0.98</c:v>
                </c:pt>
                <c:pt idx="11">
                  <c:v>0.98</c:v>
                </c:pt>
              </c:numCache>
            </c:numRef>
          </c:val>
          <c:smooth val="0"/>
          <c:extLst>
            <c:ext xmlns:c16="http://schemas.microsoft.com/office/drawing/2014/chart" uri="{C3380CC4-5D6E-409C-BE32-E72D297353CC}">
              <c16:uniqueId val="{00000001-E689-42B3-8827-10A6A6150BF6}"/>
            </c:ext>
          </c:extLst>
        </c:ser>
        <c:dLbls>
          <c:showLegendKey val="0"/>
          <c:showVal val="0"/>
          <c:showCatName val="0"/>
          <c:showSerName val="0"/>
          <c:showPercent val="0"/>
          <c:showBubbleSize val="0"/>
        </c:dLbls>
        <c:marker val="1"/>
        <c:smooth val="0"/>
        <c:axId val="50292816"/>
        <c:axId val="1"/>
      </c:lineChart>
      <c:catAx>
        <c:axId val="50292816"/>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1"/>
      </c:catAx>
      <c:valAx>
        <c:axId val="1"/>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0292816"/>
        <c:crosses val="autoZero"/>
        <c:crossBetween val="between"/>
      </c:valAx>
    </c:plotArea>
    <c:legend>
      <c:legendPos val="r"/>
      <c:layout>
        <c:manualLayout>
          <c:xMode val="edge"/>
          <c:yMode val="edge"/>
          <c:x val="0.88391818947159906"/>
          <c:y val="0.43278854849026221"/>
          <c:w val="0.10305124776674324"/>
          <c:h val="0.14286243631310797"/>
        </c:manualLayout>
      </c:layout>
      <c:overlay val="0"/>
      <c:txPr>
        <a:bodyPr/>
        <a:lstStyle/>
        <a:p>
          <a:pPr>
            <a:defRPr sz="46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2.3752745192565212E-2"/>
          <c:y val="3.7037106888585032E-2"/>
          <c:w val="0.73822353455818079"/>
          <c:h val="0.89814814814814814"/>
        </c:manualLayout>
      </c:layout>
      <c:pie3DChart>
        <c:varyColors val="1"/>
        <c:ser>
          <c:idx val="0"/>
          <c:order val="0"/>
          <c:spPr>
            <a:solidFill>
              <a:srgbClr val="FFCC66"/>
            </a:solidFill>
            <a:ln w="12700">
              <a:solidFill>
                <a:schemeClr val="tx1"/>
              </a:solidFill>
            </a:ln>
          </c:spPr>
          <c:explosion val="25"/>
          <c:dPt>
            <c:idx val="0"/>
            <c:bubble3D val="0"/>
            <c:extLst>
              <c:ext xmlns:c16="http://schemas.microsoft.com/office/drawing/2014/chart" uri="{C3380CC4-5D6E-409C-BE32-E72D297353CC}">
                <c16:uniqueId val="{00000000-8709-4CE7-B31A-24D0131AA168}"/>
              </c:ext>
            </c:extLst>
          </c:dPt>
          <c:dPt>
            <c:idx val="1"/>
            <c:bubble3D val="0"/>
            <c:spPr>
              <a:solidFill>
                <a:srgbClr val="FFFF00"/>
              </a:solidFill>
              <a:ln w="12700">
                <a:solidFill>
                  <a:schemeClr val="tx1"/>
                </a:solidFill>
              </a:ln>
            </c:spPr>
            <c:extLst>
              <c:ext xmlns:c16="http://schemas.microsoft.com/office/drawing/2014/chart" uri="{C3380CC4-5D6E-409C-BE32-E72D297353CC}">
                <c16:uniqueId val="{00000001-8709-4CE7-B31A-24D0131AA168}"/>
              </c:ext>
            </c:extLst>
          </c:dPt>
          <c:dPt>
            <c:idx val="2"/>
            <c:bubble3D val="0"/>
            <c:spPr>
              <a:solidFill>
                <a:schemeClr val="accent6">
                  <a:lumMod val="75000"/>
                </a:schemeClr>
              </a:solidFill>
              <a:ln w="12700">
                <a:solidFill>
                  <a:schemeClr val="tx1"/>
                </a:solidFill>
              </a:ln>
            </c:spPr>
            <c:extLst>
              <c:ext xmlns:c16="http://schemas.microsoft.com/office/drawing/2014/chart" uri="{C3380CC4-5D6E-409C-BE32-E72D297353CC}">
                <c16:uniqueId val="{00000002-8709-4CE7-B31A-24D0131AA168}"/>
              </c:ext>
            </c:extLst>
          </c:dPt>
          <c:dPt>
            <c:idx val="3"/>
            <c:bubble3D val="0"/>
            <c:spPr>
              <a:solidFill>
                <a:srgbClr val="00B050"/>
              </a:solidFill>
              <a:ln w="12700">
                <a:solidFill>
                  <a:schemeClr val="tx1"/>
                </a:solidFill>
              </a:ln>
            </c:spPr>
            <c:extLst>
              <c:ext xmlns:c16="http://schemas.microsoft.com/office/drawing/2014/chart" uri="{C3380CC4-5D6E-409C-BE32-E72D297353CC}">
                <c16:uniqueId val="{00000003-8709-4CE7-B31A-24D0131AA168}"/>
              </c:ext>
            </c:extLst>
          </c:dPt>
          <c:dLbls>
            <c:dLbl>
              <c:idx val="0"/>
              <c:layout>
                <c:manualLayout>
                  <c:x val="-0.21330280143553479"/>
                  <c:y val="-0.22018372703412073"/>
                </c:manualLayout>
              </c:layout>
              <c:spPr>
                <a:noFill/>
                <a:ln w="25400">
                  <a:noFill/>
                </a:ln>
              </c:spPr>
              <c:txPr>
                <a:bodyPr/>
                <a:lstStyle/>
                <a:p>
                  <a:pPr>
                    <a:defRPr sz="1100" b="1" i="0" u="none" strike="noStrike" baseline="0">
                      <a:solidFill>
                        <a:srgbClr val="000000"/>
                      </a:solidFill>
                      <a:latin typeface="Calibri"/>
                      <a:ea typeface="Calibri"/>
                      <a:cs typeface="Calibri"/>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709-4CE7-B31A-24D0131AA168}"/>
                </c:ext>
              </c:extLst>
            </c:dLbl>
            <c:dLbl>
              <c:idx val="1"/>
              <c:layout>
                <c:manualLayout>
                  <c:x val="0.14907306229578446"/>
                  <c:y val="4.2931073833162157E-2"/>
                </c:manualLayout>
              </c:layout>
              <c:spPr>
                <a:noFill/>
                <a:ln w="25400">
                  <a:noFill/>
                </a:ln>
              </c:spPr>
              <c:txPr>
                <a:bodyPr/>
                <a:lstStyle/>
                <a:p>
                  <a:pPr>
                    <a:defRPr sz="1100" b="1" i="0" u="none" strike="noStrike" baseline="0">
                      <a:solidFill>
                        <a:srgbClr val="000000"/>
                      </a:solidFill>
                      <a:latin typeface="Calibri"/>
                      <a:ea typeface="Calibri"/>
                      <a:cs typeface="Calibri"/>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709-4CE7-B31A-24D0131AA168}"/>
                </c:ext>
              </c:extLst>
            </c:dLbl>
            <c:dLbl>
              <c:idx val="2"/>
              <c:layout>
                <c:manualLayout>
                  <c:x val="3.8365472173121216E-2"/>
                  <c:y val="5.434782608695652E-3"/>
                </c:manualLayout>
              </c:layout>
              <c:spPr>
                <a:noFill/>
                <a:ln w="25400">
                  <a:noFill/>
                </a:ln>
              </c:spPr>
              <c:txPr>
                <a:bodyPr/>
                <a:lstStyle/>
                <a:p>
                  <a:pPr>
                    <a:defRPr sz="1100" b="1" i="0" u="none" strike="noStrike" baseline="0">
                      <a:solidFill>
                        <a:srgbClr val="000000"/>
                      </a:solidFill>
                      <a:latin typeface="Calibri"/>
                      <a:ea typeface="Calibri"/>
                      <a:cs typeface="Calibri"/>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709-4CE7-B31A-24D0131AA168}"/>
                </c:ext>
              </c:extLst>
            </c:dLbl>
            <c:dLbl>
              <c:idx val="3"/>
              <c:layout>
                <c:manualLayout>
                  <c:x val="5.7244094488188978E-2"/>
                  <c:y val="4.8913043478260872E-2"/>
                </c:manualLayout>
              </c:layout>
              <c:spPr>
                <a:noFill/>
                <a:ln w="25400">
                  <a:noFill/>
                </a:ln>
              </c:spPr>
              <c:txPr>
                <a:bodyPr/>
                <a:lstStyle/>
                <a:p>
                  <a:pPr>
                    <a:defRPr sz="1100" b="1" i="0" u="none" strike="noStrike" baseline="0">
                      <a:solidFill>
                        <a:srgbClr val="000000"/>
                      </a:solidFill>
                      <a:latin typeface="Calibri"/>
                      <a:ea typeface="Calibri"/>
                      <a:cs typeface="Calibri"/>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709-4CE7-B31A-24D0131AA168}"/>
                </c:ext>
              </c:extLst>
            </c:dLbl>
            <c:spPr>
              <a:noFill/>
              <a:ln w="25400">
                <a:noFill/>
              </a:ln>
            </c:spPr>
            <c:txPr>
              <a:bodyPr wrap="square" lIns="38100" tIns="19050" rIns="38100" bIns="19050" anchor="ctr">
                <a:spAutoFit/>
              </a:bodyPr>
              <a:lstStyle/>
              <a:p>
                <a:pPr>
                  <a:defRPr sz="11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CTL!$C$7:$F$7</c:f>
              <c:strCache>
                <c:ptCount val="4"/>
                <c:pt idx="0">
                  <c:v>PRESENCIAL</c:v>
                </c:pt>
                <c:pt idx="1">
                  <c:v>TELEFONO</c:v>
                </c:pt>
                <c:pt idx="2">
                  <c:v>Lìnea 018000</c:v>
                </c:pt>
                <c:pt idx="3">
                  <c:v>E-mail</c:v>
                </c:pt>
              </c:strCache>
            </c:strRef>
          </c:cat>
          <c:val>
            <c:numRef>
              <c:f>CTL!$C$9:$F$9</c:f>
              <c:numCache>
                <c:formatCode>0%</c:formatCode>
                <c:ptCount val="4"/>
                <c:pt idx="0">
                  <c:v>0.14375876577840113</c:v>
                </c:pt>
                <c:pt idx="1">
                  <c:v>5.3062178588125293E-2</c:v>
                </c:pt>
                <c:pt idx="2" formatCode="0.00%">
                  <c:v>2.2206638616175784E-3</c:v>
                </c:pt>
                <c:pt idx="3">
                  <c:v>1.3557737260402058E-2</c:v>
                </c:pt>
              </c:numCache>
            </c:numRef>
          </c:val>
          <c:extLst>
            <c:ext xmlns:c16="http://schemas.microsoft.com/office/drawing/2014/chart" uri="{C3380CC4-5D6E-409C-BE32-E72D297353CC}">
              <c16:uniqueId val="{00000004-8709-4CE7-B31A-24D0131AA168}"/>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wMode val="edge"/>
          <c:hMode val="edge"/>
          <c:x val="0.75767877229632019"/>
          <c:y val="0.12500399406595916"/>
          <c:w val="0.98982939632545941"/>
          <c:h val="0.64676081250713224"/>
        </c:manualLayout>
      </c:layout>
      <c:overlay val="0"/>
      <c:txPr>
        <a:bodyPr/>
        <a:lstStyle/>
        <a:p>
          <a:pPr>
            <a:defRPr sz="460" b="0" i="0" u="none" strike="noStrike" baseline="0">
              <a:solidFill>
                <a:srgbClr val="000000"/>
              </a:solidFill>
              <a:latin typeface="Calibri"/>
              <a:ea typeface="Calibri"/>
              <a:cs typeface="Calibri"/>
            </a:defRPr>
          </a:pPr>
          <a:endParaRPr lang="en-US"/>
        </a:p>
      </c:txPr>
    </c:legend>
    <c:plotVisOnly val="0"/>
    <c:dispBlanksAs val="zero"/>
    <c:showDLblsOverMax val="0"/>
  </c:chart>
  <c:spPr>
    <a:scene3d>
      <a:camera prst="orthographicFront"/>
      <a:lightRig rig="threePt" dir="t"/>
    </a:scene3d>
    <a:sp3d>
      <a:bevelT w="139700" prst="cross"/>
    </a:sp3d>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2.3752745192565216E-2"/>
          <c:y val="6.0989202696968267E-2"/>
          <c:w val="0.73822353455818124"/>
          <c:h val="0.89814814814814814"/>
        </c:manualLayout>
      </c:layout>
      <c:pie3DChart>
        <c:varyColors val="1"/>
        <c:ser>
          <c:idx val="0"/>
          <c:order val="0"/>
          <c:spPr>
            <a:solidFill>
              <a:srgbClr val="FFCC66"/>
            </a:solidFill>
            <a:ln w="12700">
              <a:solidFill>
                <a:schemeClr val="tx1"/>
              </a:solidFill>
            </a:ln>
          </c:spPr>
          <c:explosion val="25"/>
          <c:dPt>
            <c:idx val="0"/>
            <c:bubble3D val="0"/>
            <c:extLst>
              <c:ext xmlns:c16="http://schemas.microsoft.com/office/drawing/2014/chart" uri="{C3380CC4-5D6E-409C-BE32-E72D297353CC}">
                <c16:uniqueId val="{00000000-2B07-43EE-AE96-E18AD68F8693}"/>
              </c:ext>
            </c:extLst>
          </c:dPt>
          <c:dPt>
            <c:idx val="1"/>
            <c:bubble3D val="0"/>
            <c:spPr>
              <a:solidFill>
                <a:srgbClr val="FFFF00"/>
              </a:solidFill>
              <a:ln w="12700">
                <a:solidFill>
                  <a:schemeClr val="tx1"/>
                </a:solidFill>
              </a:ln>
            </c:spPr>
            <c:extLst>
              <c:ext xmlns:c16="http://schemas.microsoft.com/office/drawing/2014/chart" uri="{C3380CC4-5D6E-409C-BE32-E72D297353CC}">
                <c16:uniqueId val="{00000001-2B07-43EE-AE96-E18AD68F8693}"/>
              </c:ext>
            </c:extLst>
          </c:dPt>
          <c:dPt>
            <c:idx val="2"/>
            <c:bubble3D val="0"/>
            <c:spPr>
              <a:solidFill>
                <a:schemeClr val="accent6">
                  <a:lumMod val="75000"/>
                </a:schemeClr>
              </a:solidFill>
              <a:ln w="12700">
                <a:solidFill>
                  <a:schemeClr val="tx1"/>
                </a:solidFill>
              </a:ln>
            </c:spPr>
            <c:extLst>
              <c:ext xmlns:c16="http://schemas.microsoft.com/office/drawing/2014/chart" uri="{C3380CC4-5D6E-409C-BE32-E72D297353CC}">
                <c16:uniqueId val="{00000002-2B07-43EE-AE96-E18AD68F8693}"/>
              </c:ext>
            </c:extLst>
          </c:dPt>
          <c:dPt>
            <c:idx val="3"/>
            <c:bubble3D val="0"/>
            <c:spPr>
              <a:solidFill>
                <a:srgbClr val="92D050"/>
              </a:solidFill>
              <a:ln w="12700">
                <a:solidFill>
                  <a:schemeClr val="tx1"/>
                </a:solidFill>
              </a:ln>
            </c:spPr>
            <c:extLst>
              <c:ext xmlns:c16="http://schemas.microsoft.com/office/drawing/2014/chart" uri="{C3380CC4-5D6E-409C-BE32-E72D297353CC}">
                <c16:uniqueId val="{00000003-2B07-43EE-AE96-E18AD68F8693}"/>
              </c:ext>
            </c:extLst>
          </c:dPt>
          <c:dLbls>
            <c:dLbl>
              <c:idx val="0"/>
              <c:layout>
                <c:manualLayout>
                  <c:x val="-0.2133028014355349"/>
                  <c:y val="-0.16041124693667436"/>
                </c:manualLayout>
              </c:layout>
              <c:spPr>
                <a:noFill/>
                <a:ln w="25400">
                  <a:noFill/>
                </a:ln>
              </c:spPr>
              <c:txPr>
                <a:bodyPr/>
                <a:lstStyle/>
                <a:p>
                  <a:pPr>
                    <a:defRPr sz="1100" b="1" i="0" u="none" strike="noStrike" baseline="0">
                      <a:solidFill>
                        <a:srgbClr val="000000"/>
                      </a:solidFill>
                      <a:latin typeface="Calibri"/>
                      <a:ea typeface="Calibri"/>
                      <a:cs typeface="Calibri"/>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B07-43EE-AE96-E18AD68F8693}"/>
                </c:ext>
              </c:extLst>
            </c:dLbl>
            <c:dLbl>
              <c:idx val="1"/>
              <c:layout>
                <c:manualLayout>
                  <c:x val="9.6777143928437517E-2"/>
                  <c:y val="-0.15324487753947882"/>
                </c:manualLayout>
              </c:layout>
              <c:spPr>
                <a:noFill/>
                <a:ln w="25400">
                  <a:noFill/>
                </a:ln>
              </c:spPr>
              <c:txPr>
                <a:bodyPr/>
                <a:lstStyle/>
                <a:p>
                  <a:pPr>
                    <a:defRPr sz="1100" b="1" i="0" u="none" strike="noStrike" baseline="0">
                      <a:solidFill>
                        <a:srgbClr val="000000"/>
                      </a:solidFill>
                      <a:latin typeface="Calibri"/>
                      <a:ea typeface="Calibri"/>
                      <a:cs typeface="Calibri"/>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B07-43EE-AE96-E18AD68F8693}"/>
                </c:ext>
              </c:extLst>
            </c:dLbl>
            <c:dLbl>
              <c:idx val="2"/>
              <c:layout>
                <c:manualLayout>
                  <c:x val="5.9702046172799832E-2"/>
                  <c:y val="-3.1728078189121385E-4"/>
                </c:manualLayout>
              </c:layout>
              <c:spPr>
                <a:noFill/>
                <a:ln w="25400">
                  <a:noFill/>
                </a:ln>
              </c:spPr>
              <c:txPr>
                <a:bodyPr/>
                <a:lstStyle/>
                <a:p>
                  <a:pPr>
                    <a:defRPr sz="1100" b="1" i="0" u="none" strike="noStrike" baseline="0">
                      <a:solidFill>
                        <a:srgbClr val="000000"/>
                      </a:solidFill>
                      <a:latin typeface="Calibri"/>
                      <a:ea typeface="Calibri"/>
                      <a:cs typeface="Calibri"/>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B07-43EE-AE96-E18AD68F8693}"/>
                </c:ext>
              </c:extLst>
            </c:dLbl>
            <c:dLbl>
              <c:idx val="3"/>
              <c:layout>
                <c:manualLayout>
                  <c:x val="8.1208554287856879E-2"/>
                  <c:y val="0.10681399631675875"/>
                </c:manualLayout>
              </c:layout>
              <c:spPr>
                <a:noFill/>
                <a:ln w="25400">
                  <a:noFill/>
                </a:ln>
              </c:spPr>
              <c:txPr>
                <a:bodyPr/>
                <a:lstStyle/>
                <a:p>
                  <a:pPr>
                    <a:defRPr sz="1100" b="1" i="0" u="none" strike="noStrike" baseline="0">
                      <a:solidFill>
                        <a:srgbClr val="000000"/>
                      </a:solidFill>
                      <a:latin typeface="Calibri"/>
                      <a:ea typeface="Calibri"/>
                      <a:cs typeface="Calibri"/>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B07-43EE-AE96-E18AD68F8693}"/>
                </c:ext>
              </c:extLst>
            </c:dLbl>
            <c:spPr>
              <a:noFill/>
              <a:ln w="25400">
                <a:noFill/>
              </a:ln>
            </c:spPr>
            <c:txPr>
              <a:bodyPr wrap="square" lIns="38100" tIns="19050" rIns="38100" bIns="19050" anchor="ctr">
                <a:spAutoFit/>
              </a:bodyPr>
              <a:lstStyle/>
              <a:p>
                <a:pPr>
                  <a:defRPr sz="11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CTL!$C$12:$F$12</c:f>
              <c:strCache>
                <c:ptCount val="4"/>
                <c:pt idx="0">
                  <c:v>PRESENCIAL</c:v>
                </c:pt>
                <c:pt idx="1">
                  <c:v>TELEFONO</c:v>
                </c:pt>
                <c:pt idx="2">
                  <c:v>Lìnea 018000</c:v>
                </c:pt>
                <c:pt idx="3">
                  <c:v>E-mail</c:v>
                </c:pt>
              </c:strCache>
            </c:strRef>
          </c:cat>
          <c:val>
            <c:numRef>
              <c:f>CTL!$C$14:$F$14</c:f>
              <c:numCache>
                <c:formatCode>0%</c:formatCode>
                <c:ptCount val="4"/>
                <c:pt idx="0">
                  <c:v>0.10237923576063446</c:v>
                </c:pt>
                <c:pt idx="1">
                  <c:v>4.3889689978370582E-2</c:v>
                </c:pt>
                <c:pt idx="2" formatCode="0.00%">
                  <c:v>2.2530641672674837E-3</c:v>
                </c:pt>
                <c:pt idx="3">
                  <c:v>2.3521989906272529E-2</c:v>
                </c:pt>
              </c:numCache>
            </c:numRef>
          </c:val>
          <c:extLst>
            <c:ext xmlns:c16="http://schemas.microsoft.com/office/drawing/2014/chart" uri="{C3380CC4-5D6E-409C-BE32-E72D297353CC}">
              <c16:uniqueId val="{00000004-2B07-43EE-AE96-E18AD68F8693}"/>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wMode val="edge"/>
          <c:hMode val="edge"/>
          <c:x val="0.75767877229632019"/>
          <c:y val="0.12155102159191428"/>
          <c:w val="0.98982939632545941"/>
          <c:h val="0.6519557431011731"/>
        </c:manualLayout>
      </c:layout>
      <c:overlay val="0"/>
      <c:txPr>
        <a:bodyPr/>
        <a:lstStyle/>
        <a:p>
          <a:pPr>
            <a:defRPr sz="460" b="0" i="0" u="none" strike="noStrike" baseline="0">
              <a:solidFill>
                <a:srgbClr val="000000"/>
              </a:solidFill>
              <a:latin typeface="Calibri"/>
              <a:ea typeface="Calibri"/>
              <a:cs typeface="Calibri"/>
            </a:defRPr>
          </a:pPr>
          <a:endParaRPr lang="en-US"/>
        </a:p>
      </c:txPr>
    </c:legend>
    <c:plotVisOnly val="0"/>
    <c:dispBlanksAs val="zero"/>
    <c:showDLblsOverMax val="0"/>
  </c:chart>
  <c:spPr>
    <a:scene3d>
      <a:camera prst="orthographicFront"/>
      <a:lightRig rig="threePt" dir="t"/>
    </a:scene3d>
    <a:sp3d>
      <a:bevelT w="139700" prst="cross"/>
    </a:sp3d>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Calibri"/>
                <a:ea typeface="Calibri"/>
                <a:cs typeface="Calibri"/>
              </a:defRPr>
            </a:pPr>
            <a:r>
              <a:rPr lang="en-US"/>
              <a:t>TIPOS DE REQUERIMIENTO</a:t>
            </a:r>
          </a:p>
        </c:rich>
      </c:tx>
      <c:overlay val="0"/>
    </c:title>
    <c:autoTitleDeleted val="0"/>
    <c:plotArea>
      <c:layout/>
      <c:barChart>
        <c:barDir val="col"/>
        <c:grouping val="clustered"/>
        <c:varyColors val="0"/>
        <c:ser>
          <c:idx val="0"/>
          <c:order val="0"/>
          <c:tx>
            <c:strRef>
              <c:f>CTL!$B$2</c:f>
              <c:strCache>
                <c:ptCount val="1"/>
                <c:pt idx="0">
                  <c:v>RECLAMOS POR CTL EN LINEA, PIN BALOTO Y EFECTY </c:v>
                </c:pt>
              </c:strCache>
            </c:strRef>
          </c:tx>
          <c:spPr>
            <a:solidFill>
              <a:srgbClr val="FF0000"/>
            </a:solidFill>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CTL!$B$2</c:f>
              <c:strCache>
                <c:ptCount val="1"/>
                <c:pt idx="0">
                  <c:v>RECLAMOS POR CTL EN LINEA, PIN BALOTO Y EFECTY </c:v>
                </c:pt>
              </c:strCache>
            </c:strRef>
          </c:cat>
          <c:val>
            <c:numRef>
              <c:f>CTL!$B$3</c:f>
              <c:numCache>
                <c:formatCode>General</c:formatCode>
                <c:ptCount val="1"/>
                <c:pt idx="0">
                  <c:v>404</c:v>
                </c:pt>
              </c:numCache>
            </c:numRef>
          </c:val>
          <c:extLst>
            <c:ext xmlns:c16="http://schemas.microsoft.com/office/drawing/2014/chart" uri="{C3380CC4-5D6E-409C-BE32-E72D297353CC}">
              <c16:uniqueId val="{00000000-D721-4450-8B89-C12222E8B3FC}"/>
            </c:ext>
          </c:extLst>
        </c:ser>
        <c:dLbls>
          <c:showLegendKey val="0"/>
          <c:showVal val="0"/>
          <c:showCatName val="0"/>
          <c:showSerName val="0"/>
          <c:showPercent val="0"/>
          <c:showBubbleSize val="0"/>
        </c:dLbls>
        <c:gapWidth val="150"/>
        <c:axId val="1733184"/>
        <c:axId val="1"/>
      </c:barChart>
      <c:catAx>
        <c:axId val="173318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0"/>
        <c:lblAlgn val="ctr"/>
        <c:lblOffset val="100"/>
        <c:noMultiLvlLbl val="0"/>
      </c:catAx>
      <c:valAx>
        <c:axId val="1"/>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733184"/>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81967213114754"/>
          <c:y val="7.5268817204301078E-2"/>
          <c:w val="0.73770491803278693"/>
          <c:h val="0.41935483870967744"/>
        </c:manualLayout>
      </c:layout>
      <c:barChart>
        <c:barDir val="col"/>
        <c:grouping val="clustered"/>
        <c:varyColors val="0"/>
        <c:ser>
          <c:idx val="0"/>
          <c:order val="0"/>
          <c:invertIfNegative val="0"/>
          <c:dPt>
            <c:idx val="1"/>
            <c:invertIfNegative val="0"/>
            <c:bubble3D val="0"/>
            <c:spPr>
              <a:solidFill>
                <a:srgbClr val="92D050"/>
              </a:solidFill>
            </c:spPr>
            <c:extLst>
              <c:ext xmlns:c16="http://schemas.microsoft.com/office/drawing/2014/chart" uri="{C3380CC4-5D6E-409C-BE32-E72D297353CC}">
                <c16:uniqueId val="{00000000-BD1B-49D5-8B42-76C8ACA0A156}"/>
              </c:ext>
            </c:extLst>
          </c:dPt>
          <c:dPt>
            <c:idx val="3"/>
            <c:invertIfNegative val="0"/>
            <c:bubble3D val="0"/>
            <c:spPr>
              <a:solidFill>
                <a:srgbClr val="FF0000"/>
              </a:solidFill>
            </c:spPr>
            <c:extLst>
              <c:ext xmlns:c16="http://schemas.microsoft.com/office/drawing/2014/chart" uri="{C3380CC4-5D6E-409C-BE32-E72D297353CC}">
                <c16:uniqueId val="{00000001-BD1B-49D5-8B42-76C8ACA0A156}"/>
              </c:ext>
            </c:extLst>
          </c:dPt>
          <c:dPt>
            <c:idx val="4"/>
            <c:invertIfNegative val="0"/>
            <c:bubble3D val="0"/>
            <c:spPr>
              <a:solidFill>
                <a:srgbClr val="92D050"/>
              </a:solidFill>
            </c:spPr>
            <c:extLst>
              <c:ext xmlns:c16="http://schemas.microsoft.com/office/drawing/2014/chart" uri="{C3380CC4-5D6E-409C-BE32-E72D297353CC}">
                <c16:uniqueId val="{00000002-BD1B-49D5-8B42-76C8ACA0A156}"/>
              </c:ext>
            </c:extLst>
          </c:dPt>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CTL!$Q$7:$U$7</c:f>
              <c:strCache>
                <c:ptCount val="5"/>
                <c:pt idx="0">
                  <c:v>CONSULTA</c:v>
                </c:pt>
                <c:pt idx="1">
                  <c:v>PETICIÒN INFORMATIVA</c:v>
                </c:pt>
                <c:pt idx="2">
                  <c:v>QUEJA</c:v>
                </c:pt>
                <c:pt idx="3">
                  <c:v>RECLAMO</c:v>
                </c:pt>
                <c:pt idx="4">
                  <c:v>SOLICITUD</c:v>
                </c:pt>
              </c:strCache>
            </c:strRef>
          </c:cat>
          <c:val>
            <c:numRef>
              <c:f>CTL!$Q$8:$U$8</c:f>
              <c:numCache>
                <c:formatCode>General</c:formatCode>
                <c:ptCount val="5"/>
                <c:pt idx="0">
                  <c:v>5</c:v>
                </c:pt>
                <c:pt idx="1">
                  <c:v>47</c:v>
                </c:pt>
                <c:pt idx="2">
                  <c:v>1</c:v>
                </c:pt>
                <c:pt idx="3">
                  <c:v>1720</c:v>
                </c:pt>
                <c:pt idx="4">
                  <c:v>46</c:v>
                </c:pt>
              </c:numCache>
            </c:numRef>
          </c:val>
          <c:extLst>
            <c:ext xmlns:c16="http://schemas.microsoft.com/office/drawing/2014/chart" uri="{C3380CC4-5D6E-409C-BE32-E72D297353CC}">
              <c16:uniqueId val="{00000003-BD1B-49D5-8B42-76C8ACA0A156}"/>
            </c:ext>
          </c:extLst>
        </c:ser>
        <c:dLbls>
          <c:showLegendKey val="0"/>
          <c:showVal val="0"/>
          <c:showCatName val="0"/>
          <c:showSerName val="0"/>
          <c:showPercent val="0"/>
          <c:showBubbleSize val="0"/>
        </c:dLbls>
        <c:gapWidth val="150"/>
        <c:axId val="1728544"/>
        <c:axId val="1"/>
      </c:barChart>
      <c:catAx>
        <c:axId val="1728544"/>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728544"/>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778242677824265"/>
          <c:y val="7.179487179487179E-2"/>
          <c:w val="0.66527196652719667"/>
          <c:h val="0.44615384615384618"/>
        </c:manualLayout>
      </c:layout>
      <c:barChart>
        <c:barDir val="col"/>
        <c:grouping val="clustered"/>
        <c:varyColors val="0"/>
        <c:ser>
          <c:idx val="0"/>
          <c:order val="0"/>
          <c:invertIfNegative val="0"/>
          <c:dPt>
            <c:idx val="1"/>
            <c:invertIfNegative val="0"/>
            <c:bubble3D val="0"/>
            <c:spPr>
              <a:solidFill>
                <a:srgbClr val="92D050"/>
              </a:solidFill>
            </c:spPr>
            <c:extLst>
              <c:ext xmlns:c16="http://schemas.microsoft.com/office/drawing/2014/chart" uri="{C3380CC4-5D6E-409C-BE32-E72D297353CC}">
                <c16:uniqueId val="{00000000-1FE7-41F3-A6D2-A10B6452DBB8}"/>
              </c:ext>
            </c:extLst>
          </c:dPt>
          <c:dPt>
            <c:idx val="3"/>
            <c:invertIfNegative val="0"/>
            <c:bubble3D val="0"/>
            <c:spPr>
              <a:solidFill>
                <a:srgbClr val="FF0000"/>
              </a:solidFill>
            </c:spPr>
            <c:extLst>
              <c:ext xmlns:c16="http://schemas.microsoft.com/office/drawing/2014/chart" uri="{C3380CC4-5D6E-409C-BE32-E72D297353CC}">
                <c16:uniqueId val="{00000001-1FE7-41F3-A6D2-A10B6452DBB8}"/>
              </c:ext>
            </c:extLst>
          </c:dPt>
          <c:dPt>
            <c:idx val="4"/>
            <c:invertIfNegative val="0"/>
            <c:bubble3D val="0"/>
            <c:spPr>
              <a:solidFill>
                <a:srgbClr val="92D050"/>
              </a:solidFill>
            </c:spPr>
            <c:extLst>
              <c:ext xmlns:c16="http://schemas.microsoft.com/office/drawing/2014/chart" uri="{C3380CC4-5D6E-409C-BE32-E72D297353CC}">
                <c16:uniqueId val="{00000002-1FE7-41F3-A6D2-A10B6452DBB8}"/>
              </c:ext>
            </c:extLst>
          </c:dPt>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CTL!$Q$12:$U$12</c:f>
              <c:strCache>
                <c:ptCount val="5"/>
                <c:pt idx="0">
                  <c:v>CONSULTA</c:v>
                </c:pt>
                <c:pt idx="1">
                  <c:v>PETICIÒN INFORMATIVA</c:v>
                </c:pt>
                <c:pt idx="2">
                  <c:v>QUEJA</c:v>
                </c:pt>
                <c:pt idx="3">
                  <c:v>RECLAMO</c:v>
                </c:pt>
                <c:pt idx="4">
                  <c:v>SOLICITUD</c:v>
                </c:pt>
              </c:strCache>
            </c:strRef>
          </c:cat>
          <c:val>
            <c:numRef>
              <c:f>CTL!$Q$13:$U$13</c:f>
              <c:numCache>
                <c:formatCode>General</c:formatCode>
                <c:ptCount val="5"/>
                <c:pt idx="0">
                  <c:v>26</c:v>
                </c:pt>
                <c:pt idx="1">
                  <c:v>24</c:v>
                </c:pt>
                <c:pt idx="2">
                  <c:v>3</c:v>
                </c:pt>
                <c:pt idx="3">
                  <c:v>1747</c:v>
                </c:pt>
                <c:pt idx="4">
                  <c:v>109</c:v>
                </c:pt>
              </c:numCache>
            </c:numRef>
          </c:val>
          <c:extLst>
            <c:ext xmlns:c16="http://schemas.microsoft.com/office/drawing/2014/chart" uri="{C3380CC4-5D6E-409C-BE32-E72D297353CC}">
              <c16:uniqueId val="{00000003-1FE7-41F3-A6D2-A10B6452DBB8}"/>
            </c:ext>
          </c:extLst>
        </c:ser>
        <c:dLbls>
          <c:showLegendKey val="0"/>
          <c:showVal val="0"/>
          <c:showCatName val="0"/>
          <c:showSerName val="0"/>
          <c:showPercent val="0"/>
          <c:showBubbleSize val="0"/>
        </c:dLbls>
        <c:gapWidth val="150"/>
        <c:axId val="49846256"/>
        <c:axId val="1"/>
      </c:barChart>
      <c:catAx>
        <c:axId val="49846256"/>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9846256"/>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Calibri"/>
                <a:ea typeface="Calibri"/>
                <a:cs typeface="Calibri"/>
              </a:defRPr>
            </a:pPr>
            <a:r>
              <a:rPr lang="en-US"/>
              <a:t>TIPOS DE REQUERIMIENTO</a:t>
            </a:r>
          </a:p>
        </c:rich>
      </c:tx>
      <c:overlay val="0"/>
    </c:title>
    <c:autoTitleDeleted val="0"/>
    <c:plotArea>
      <c:layout/>
      <c:barChart>
        <c:barDir val="col"/>
        <c:grouping val="clustered"/>
        <c:varyColors val="0"/>
        <c:ser>
          <c:idx val="0"/>
          <c:order val="0"/>
          <c:tx>
            <c:strRef>
              <c:f>Hoja2!$B$1</c:f>
              <c:strCache>
                <c:ptCount val="1"/>
                <c:pt idx="0">
                  <c:v>%</c:v>
                </c:pt>
              </c:strCache>
            </c:strRef>
          </c:tx>
          <c:spPr>
            <a:solidFill>
              <a:schemeClr val="accent3">
                <a:lumMod val="75000"/>
              </a:schemeClr>
            </a:solidFill>
            <a:ln>
              <a:solidFill>
                <a:schemeClr val="tx1"/>
              </a:solidFill>
            </a:ln>
            <a:scene3d>
              <a:camera prst="orthographicFront"/>
              <a:lightRig rig="threePt" dir="t"/>
            </a:scene3d>
            <a:sp3d>
              <a:bevelT/>
            </a:sp3d>
          </c:spPr>
          <c:invertIfNegative val="0"/>
          <c:dPt>
            <c:idx val="1"/>
            <c:invertIfNegative val="0"/>
            <c:bubble3D val="0"/>
            <c:spPr>
              <a:solidFill>
                <a:srgbClr val="FFFF00"/>
              </a:solidFill>
              <a:ln>
                <a:solidFill>
                  <a:schemeClr val="tx1"/>
                </a:solidFill>
              </a:ln>
              <a:scene3d>
                <a:camera prst="orthographicFront"/>
                <a:lightRig rig="threePt" dir="t"/>
              </a:scene3d>
              <a:sp3d>
                <a:bevelT/>
              </a:sp3d>
            </c:spPr>
            <c:extLst>
              <c:ext xmlns:c16="http://schemas.microsoft.com/office/drawing/2014/chart" uri="{C3380CC4-5D6E-409C-BE32-E72D297353CC}">
                <c16:uniqueId val="{00000000-2E73-4B77-917C-BAB8DDF6A7D9}"/>
              </c:ext>
            </c:extLst>
          </c:dPt>
          <c:dPt>
            <c:idx val="2"/>
            <c:invertIfNegative val="0"/>
            <c:bubble3D val="0"/>
            <c:spPr>
              <a:solidFill>
                <a:schemeClr val="accent6">
                  <a:lumMod val="75000"/>
                </a:schemeClr>
              </a:solidFill>
              <a:ln>
                <a:solidFill>
                  <a:schemeClr val="tx1"/>
                </a:solidFill>
              </a:ln>
              <a:scene3d>
                <a:camera prst="orthographicFront"/>
                <a:lightRig rig="threePt" dir="t"/>
              </a:scene3d>
              <a:sp3d>
                <a:bevelT/>
              </a:sp3d>
            </c:spPr>
            <c:extLst>
              <c:ext xmlns:c16="http://schemas.microsoft.com/office/drawing/2014/chart" uri="{C3380CC4-5D6E-409C-BE32-E72D297353CC}">
                <c16:uniqueId val="{00000001-2E73-4B77-917C-BAB8DDF6A7D9}"/>
              </c:ext>
            </c:extLst>
          </c:dPt>
          <c:dLbls>
            <c:spPr>
              <a:noFill/>
              <a:ln w="25400">
                <a:noFill/>
              </a:ln>
            </c:spPr>
            <c:txPr>
              <a:bodyPr wrap="square" lIns="38100" tIns="19050" rIns="38100" bIns="19050" anchor="ctr">
                <a:spAutoFit/>
              </a:bodyPr>
              <a:lstStyle/>
              <a:p>
                <a:pPr>
                  <a:defRPr sz="11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Hoja2!$A$2:$A$4</c:f>
              <c:strCache>
                <c:ptCount val="3"/>
                <c:pt idx="0">
                  <c:v>Peticiones de Informaciòn</c:v>
                </c:pt>
                <c:pt idx="1">
                  <c:v>Peticiones de Solicitud</c:v>
                </c:pt>
                <c:pt idx="2">
                  <c:v>Reclamos</c:v>
                </c:pt>
              </c:strCache>
            </c:strRef>
          </c:cat>
          <c:val>
            <c:numRef>
              <c:f>Hoja2!$B$2:$B$4</c:f>
              <c:numCache>
                <c:formatCode>0%</c:formatCode>
                <c:ptCount val="3"/>
                <c:pt idx="0">
                  <c:v>0.24</c:v>
                </c:pt>
                <c:pt idx="1">
                  <c:v>0.46</c:v>
                </c:pt>
                <c:pt idx="2">
                  <c:v>0.31</c:v>
                </c:pt>
              </c:numCache>
            </c:numRef>
          </c:val>
          <c:extLst>
            <c:ext xmlns:c16="http://schemas.microsoft.com/office/drawing/2014/chart" uri="{C3380CC4-5D6E-409C-BE32-E72D297353CC}">
              <c16:uniqueId val="{00000002-2E73-4B77-917C-BAB8DDF6A7D9}"/>
            </c:ext>
          </c:extLst>
        </c:ser>
        <c:dLbls>
          <c:showLegendKey val="0"/>
          <c:showVal val="0"/>
          <c:showCatName val="0"/>
          <c:showSerName val="0"/>
          <c:showPercent val="0"/>
          <c:showBubbleSize val="0"/>
        </c:dLbls>
        <c:gapWidth val="150"/>
        <c:axId val="50296064"/>
        <c:axId val="1"/>
      </c:barChart>
      <c:catAx>
        <c:axId val="50296064"/>
        <c:scaling>
          <c:orientation val="minMax"/>
        </c:scaling>
        <c:delete val="0"/>
        <c:axPos val="b"/>
        <c:numFmt formatCode="General"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0296064"/>
        <c:crosses val="autoZero"/>
        <c:crossBetween val="between"/>
      </c:valAx>
    </c:plotArea>
    <c:plotVisOnly val="1"/>
    <c:dispBlanksAs val="gap"/>
    <c:showDLblsOverMax val="0"/>
  </c:chart>
  <c:spPr>
    <a:scene3d>
      <a:camera prst="orthographicFront"/>
      <a:lightRig rig="threePt" dir="t"/>
    </a:scene3d>
    <a:sp3d>
      <a:bevelT/>
    </a:sp3d>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perspective val="0"/>
    </c:view3D>
    <c:floor>
      <c:thickness val="0"/>
    </c:floor>
    <c:sideWall>
      <c:thickness val="0"/>
    </c:sideWall>
    <c:backWall>
      <c:thickness val="0"/>
    </c:backWall>
    <c:plotArea>
      <c:layout/>
      <c:pie3DChart>
        <c:varyColors val="1"/>
        <c:ser>
          <c:idx val="0"/>
          <c:order val="0"/>
          <c:spPr>
            <a:ln>
              <a:solidFill>
                <a:schemeClr val="accent1"/>
              </a:solidFill>
            </a:ln>
          </c:spPr>
          <c:explosion val="25"/>
          <c:dPt>
            <c:idx val="0"/>
            <c:bubble3D val="0"/>
            <c:spPr>
              <a:solidFill>
                <a:srgbClr val="FFFF00"/>
              </a:solidFill>
              <a:ln>
                <a:solidFill>
                  <a:schemeClr val="tx1"/>
                </a:solidFill>
              </a:ln>
            </c:spPr>
            <c:extLst>
              <c:ext xmlns:c16="http://schemas.microsoft.com/office/drawing/2014/chart" uri="{C3380CC4-5D6E-409C-BE32-E72D297353CC}">
                <c16:uniqueId val="{00000000-AC2D-4ED1-B9DE-433849776D96}"/>
              </c:ext>
            </c:extLst>
          </c:dPt>
          <c:dPt>
            <c:idx val="1"/>
            <c:bubble3D val="0"/>
            <c:spPr>
              <a:solidFill>
                <a:srgbClr val="92D050"/>
              </a:solidFill>
              <a:ln>
                <a:solidFill>
                  <a:schemeClr val="tx1"/>
                </a:solidFill>
              </a:ln>
            </c:spPr>
            <c:extLst>
              <c:ext xmlns:c16="http://schemas.microsoft.com/office/drawing/2014/chart" uri="{C3380CC4-5D6E-409C-BE32-E72D297353CC}">
                <c16:uniqueId val="{00000001-AC2D-4ED1-B9DE-433849776D96}"/>
              </c:ext>
            </c:extLst>
          </c:dPt>
          <c:dPt>
            <c:idx val="2"/>
            <c:bubble3D val="0"/>
            <c:spPr>
              <a:solidFill>
                <a:srgbClr val="FFC000"/>
              </a:solidFill>
              <a:ln>
                <a:solidFill>
                  <a:schemeClr val="tx1"/>
                </a:solidFill>
              </a:ln>
            </c:spPr>
            <c:extLst>
              <c:ext xmlns:c16="http://schemas.microsoft.com/office/drawing/2014/chart" uri="{C3380CC4-5D6E-409C-BE32-E72D297353CC}">
                <c16:uniqueId val="{00000002-AC2D-4ED1-B9DE-433849776D96}"/>
              </c:ext>
            </c:extLst>
          </c:dPt>
          <c:dLbls>
            <c:dLbl>
              <c:idx val="0"/>
              <c:spPr/>
              <c:txPr>
                <a:bodyPr/>
                <a:lstStyle/>
                <a:p>
                  <a:pPr>
                    <a:defRPr sz="1200" b="1" i="0" u="none" strike="noStrike" baseline="0">
                      <a:solidFill>
                        <a:srgbClr val="000000"/>
                      </a:solidFill>
                      <a:latin typeface="Calibri"/>
                      <a:ea typeface="Calibri"/>
                      <a:cs typeface="Calibri"/>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C2D-4ED1-B9DE-433849776D96}"/>
                </c:ext>
              </c:extLst>
            </c:dLbl>
            <c:dLbl>
              <c:idx val="1"/>
              <c:spPr/>
              <c:txPr>
                <a:bodyPr/>
                <a:lstStyle/>
                <a:p>
                  <a:pPr>
                    <a:defRPr sz="1200" b="1" i="0" u="none" strike="noStrike" baseline="0">
                      <a:solidFill>
                        <a:srgbClr val="000000"/>
                      </a:solidFill>
                      <a:latin typeface="Calibri"/>
                      <a:ea typeface="Calibri"/>
                      <a:cs typeface="Calibri"/>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C2D-4ED1-B9DE-433849776D96}"/>
                </c:ext>
              </c:extLst>
            </c:dLbl>
            <c:dLbl>
              <c:idx val="2"/>
              <c:layout>
                <c:manualLayout>
                  <c:x val="9.6964963848183788E-2"/>
                  <c:y val="-0.31075609524713027"/>
                </c:manualLayout>
              </c:layout>
              <c:spPr/>
              <c:txPr>
                <a:bodyPr/>
                <a:lstStyle/>
                <a:p>
                  <a:pPr>
                    <a:defRPr sz="1200" b="1" i="0" u="none" strike="noStrike" baseline="0">
                      <a:solidFill>
                        <a:srgbClr val="000000"/>
                      </a:solidFill>
                      <a:latin typeface="Calibri"/>
                      <a:ea typeface="Calibri"/>
                      <a:cs typeface="Calibri"/>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C2D-4ED1-B9DE-433849776D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extLst>
          </c:dLbls>
          <c:cat>
            <c:strRef>
              <c:f>Dependencias!$A$2:$C$2</c:f>
              <c:strCache>
                <c:ptCount val="3"/>
                <c:pt idx="0">
                  <c:v>Direccionadas Dependencias Nivel Central</c:v>
                </c:pt>
                <c:pt idx="1">
                  <c:v>Direccionadas Notarias y Otras Entidades</c:v>
                </c:pt>
                <c:pt idx="2">
                  <c:v>OAC</c:v>
                </c:pt>
              </c:strCache>
            </c:strRef>
          </c:cat>
          <c:val>
            <c:numRef>
              <c:f>Dependencias!$A$4:$C$4</c:f>
              <c:numCache>
                <c:formatCode>0%</c:formatCode>
                <c:ptCount val="3"/>
                <c:pt idx="0">
                  <c:v>5.4300062774639044E-2</c:v>
                </c:pt>
                <c:pt idx="1">
                  <c:v>3.3270558694287508E-2</c:v>
                </c:pt>
                <c:pt idx="2">
                  <c:v>0.91242937853107342</c:v>
                </c:pt>
              </c:numCache>
            </c:numRef>
          </c:val>
          <c:extLst>
            <c:ext xmlns:c16="http://schemas.microsoft.com/office/drawing/2014/chart" uri="{C3380CC4-5D6E-409C-BE32-E72D297353CC}">
              <c16:uniqueId val="{00000003-AC2D-4ED1-B9DE-433849776D96}"/>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wMode val="edge"/>
          <c:hMode val="edge"/>
          <c:x val="0.6321731854362892"/>
          <c:y val="0.17188156167979005"/>
          <c:w val="0.97823338840138174"/>
          <c:h val="0.8047186679790026"/>
        </c:manualLayout>
      </c:layout>
      <c:overlay val="0"/>
      <c:txPr>
        <a:bodyPr/>
        <a:lstStyle/>
        <a:p>
          <a:pPr>
            <a:defRPr sz="460" b="0" i="0" u="none" strike="noStrike" baseline="0">
              <a:solidFill>
                <a:srgbClr val="000000"/>
              </a:solidFill>
              <a:latin typeface="Calibri"/>
              <a:ea typeface="Calibri"/>
              <a:cs typeface="Calibri"/>
            </a:defRPr>
          </a:pPr>
          <a:endParaRPr lang="en-US"/>
        </a:p>
      </c:txPr>
    </c:legend>
    <c:plotVisOnly val="1"/>
    <c:dispBlanksAs val="zero"/>
    <c:showDLblsOverMax val="0"/>
  </c:chart>
  <c:spPr>
    <a:scene3d>
      <a:camera prst="orthographicFront"/>
      <a:lightRig rig="threePt" dir="t"/>
    </a:scene3d>
    <a:sp3d>
      <a:bevelT/>
    </a:sp3d>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394366197183099"/>
          <c:y val="5.3639846743295021E-2"/>
          <c:w val="0.83380281690140845"/>
          <c:h val="0.57471264367816088"/>
        </c:manualLayout>
      </c:layout>
      <c:barChart>
        <c:barDir val="col"/>
        <c:grouping val="clustered"/>
        <c:varyColors val="0"/>
        <c:ser>
          <c:idx val="0"/>
          <c:order val="0"/>
          <c:spPr>
            <a:ln>
              <a:solidFill>
                <a:schemeClr val="tx1"/>
              </a:solidFill>
            </a:ln>
          </c:spPr>
          <c:invertIfNegative val="0"/>
          <c:dPt>
            <c:idx val="0"/>
            <c:invertIfNegative val="0"/>
            <c:bubble3D val="0"/>
            <c:spPr>
              <a:solidFill>
                <a:srgbClr val="FFC000"/>
              </a:solidFill>
              <a:ln>
                <a:solidFill>
                  <a:schemeClr val="tx1"/>
                </a:solidFill>
              </a:ln>
            </c:spPr>
            <c:extLst>
              <c:ext xmlns:c16="http://schemas.microsoft.com/office/drawing/2014/chart" uri="{C3380CC4-5D6E-409C-BE32-E72D297353CC}">
                <c16:uniqueId val="{00000000-05A3-4BD9-8E3A-35219C21E462}"/>
              </c:ext>
            </c:extLst>
          </c:dPt>
          <c:dPt>
            <c:idx val="1"/>
            <c:invertIfNegative val="0"/>
            <c:bubble3D val="0"/>
            <c:spPr>
              <a:solidFill>
                <a:srgbClr val="FFC000"/>
              </a:solidFill>
              <a:ln>
                <a:solidFill>
                  <a:schemeClr val="tx1"/>
                </a:solidFill>
              </a:ln>
            </c:spPr>
            <c:extLst>
              <c:ext xmlns:c16="http://schemas.microsoft.com/office/drawing/2014/chart" uri="{C3380CC4-5D6E-409C-BE32-E72D297353CC}">
                <c16:uniqueId val="{00000001-05A3-4BD9-8E3A-35219C21E462}"/>
              </c:ext>
            </c:extLst>
          </c:dPt>
          <c:dPt>
            <c:idx val="2"/>
            <c:invertIfNegative val="0"/>
            <c:bubble3D val="0"/>
            <c:spPr>
              <a:solidFill>
                <a:srgbClr val="FFFF00"/>
              </a:solidFill>
              <a:ln>
                <a:solidFill>
                  <a:schemeClr val="tx1"/>
                </a:solidFill>
              </a:ln>
            </c:spPr>
            <c:extLst>
              <c:ext xmlns:c16="http://schemas.microsoft.com/office/drawing/2014/chart" uri="{C3380CC4-5D6E-409C-BE32-E72D297353CC}">
                <c16:uniqueId val="{00000002-05A3-4BD9-8E3A-35219C21E462}"/>
              </c:ext>
            </c:extLst>
          </c:dPt>
          <c:dPt>
            <c:idx val="3"/>
            <c:invertIfNegative val="0"/>
            <c:bubble3D val="0"/>
            <c:spPr>
              <a:solidFill>
                <a:srgbClr val="92D050"/>
              </a:solidFill>
              <a:ln>
                <a:solidFill>
                  <a:schemeClr val="tx1"/>
                </a:solidFill>
              </a:ln>
            </c:spPr>
            <c:extLst>
              <c:ext xmlns:c16="http://schemas.microsoft.com/office/drawing/2014/chart" uri="{C3380CC4-5D6E-409C-BE32-E72D297353CC}">
                <c16:uniqueId val="{00000003-05A3-4BD9-8E3A-35219C21E462}"/>
              </c:ext>
            </c:extLst>
          </c:dPt>
          <c:dPt>
            <c:idx val="4"/>
            <c:invertIfNegative val="0"/>
            <c:bubble3D val="0"/>
            <c:spPr>
              <a:solidFill>
                <a:srgbClr val="92D050"/>
              </a:solidFill>
              <a:ln>
                <a:solidFill>
                  <a:schemeClr val="tx1"/>
                </a:solidFill>
              </a:ln>
            </c:spPr>
            <c:extLst>
              <c:ext xmlns:c16="http://schemas.microsoft.com/office/drawing/2014/chart" uri="{C3380CC4-5D6E-409C-BE32-E72D297353CC}">
                <c16:uniqueId val="{00000004-05A3-4BD9-8E3A-35219C21E462}"/>
              </c:ext>
            </c:extLst>
          </c:dPt>
          <c:dLbls>
            <c:spPr>
              <a:noFill/>
              <a:ln w="25400">
                <a:noFill/>
              </a:ln>
            </c:spPr>
            <c:txPr>
              <a:bodyPr wrap="square" lIns="38100" tIns="19050" rIns="38100" bIns="19050" anchor="ctr">
                <a:spAutoFit/>
              </a:bodyPr>
              <a:lstStyle/>
              <a:p>
                <a:pPr>
                  <a:defRPr sz="11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Dependencias!$A$7:$A$11</c:f>
              <c:strCache>
                <c:ptCount val="5"/>
                <c:pt idx="0">
                  <c:v>E-mail</c:v>
                </c:pt>
                <c:pt idx="1">
                  <c:v>Presencial</c:v>
                </c:pt>
                <c:pt idx="2">
                  <c:v>Telèfono</c:v>
                </c:pt>
                <c:pt idx="3">
                  <c:v>Lìnea 018000</c:v>
                </c:pt>
                <c:pt idx="4">
                  <c:v>Correspondencia </c:v>
                </c:pt>
              </c:strCache>
            </c:strRef>
          </c:cat>
          <c:val>
            <c:numRef>
              <c:f>Dependencias!$C$7:$C$11</c:f>
              <c:numCache>
                <c:formatCode>0%</c:formatCode>
                <c:ptCount val="5"/>
                <c:pt idx="0">
                  <c:v>0.40803515379786565</c:v>
                </c:pt>
                <c:pt idx="1">
                  <c:v>0.40615191462649092</c:v>
                </c:pt>
                <c:pt idx="2">
                  <c:v>0.12962962962962962</c:v>
                </c:pt>
                <c:pt idx="3">
                  <c:v>1.977401129943503E-2</c:v>
                </c:pt>
                <c:pt idx="4">
                  <c:v>3.6409290646578781E-2</c:v>
                </c:pt>
              </c:numCache>
            </c:numRef>
          </c:val>
          <c:extLst>
            <c:ext xmlns:c16="http://schemas.microsoft.com/office/drawing/2014/chart" uri="{C3380CC4-5D6E-409C-BE32-E72D297353CC}">
              <c16:uniqueId val="{00000005-05A3-4BD9-8E3A-35219C21E462}"/>
            </c:ext>
          </c:extLst>
        </c:ser>
        <c:dLbls>
          <c:showLegendKey val="0"/>
          <c:showVal val="0"/>
          <c:showCatName val="0"/>
          <c:showSerName val="0"/>
          <c:showPercent val="0"/>
          <c:showBubbleSize val="0"/>
        </c:dLbls>
        <c:gapWidth val="150"/>
        <c:axId val="49845328"/>
        <c:axId val="1"/>
      </c:barChart>
      <c:catAx>
        <c:axId val="49845328"/>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9845328"/>
        <c:crosses val="autoZero"/>
        <c:crossBetween val="between"/>
      </c:valAx>
    </c:plotArea>
    <c:plotVisOnly val="1"/>
    <c:dispBlanksAs val="gap"/>
    <c:showDLblsOverMax val="0"/>
  </c:chart>
  <c:spPr>
    <a:scene3d>
      <a:camera prst="orthographicFront"/>
      <a:lightRig rig="threePt" dir="t"/>
    </a:scene3d>
    <a:sp3d>
      <a:bevelT w="165100" prst="coolSlant"/>
    </a:sp3d>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perspective val="0"/>
    </c:view3D>
    <c:floor>
      <c:thickness val="0"/>
    </c:floor>
    <c:sideWall>
      <c:thickness val="0"/>
    </c:sideWall>
    <c:backWall>
      <c:thickness val="0"/>
    </c:backWall>
    <c:plotArea>
      <c:layout/>
      <c:pie3DChart>
        <c:varyColors val="1"/>
        <c:ser>
          <c:idx val="0"/>
          <c:order val="0"/>
          <c:spPr>
            <a:ln>
              <a:solidFill>
                <a:schemeClr val="tx1"/>
              </a:solidFill>
            </a:ln>
          </c:spPr>
          <c:explosion val="21"/>
          <c:dPt>
            <c:idx val="0"/>
            <c:bubble3D val="0"/>
            <c:spPr>
              <a:solidFill>
                <a:srgbClr val="92D050"/>
              </a:solidFill>
              <a:ln>
                <a:solidFill>
                  <a:schemeClr val="tx1"/>
                </a:solidFill>
              </a:ln>
            </c:spPr>
            <c:extLst>
              <c:ext xmlns:c16="http://schemas.microsoft.com/office/drawing/2014/chart" uri="{C3380CC4-5D6E-409C-BE32-E72D297353CC}">
                <c16:uniqueId val="{00000000-B6A7-4F1D-B3EA-69CE73DC54EB}"/>
              </c:ext>
            </c:extLst>
          </c:dPt>
          <c:dPt>
            <c:idx val="1"/>
            <c:bubble3D val="0"/>
            <c:spPr>
              <a:solidFill>
                <a:schemeClr val="accent4">
                  <a:lumMod val="75000"/>
                </a:schemeClr>
              </a:solidFill>
              <a:ln>
                <a:solidFill>
                  <a:schemeClr val="tx1"/>
                </a:solidFill>
              </a:ln>
            </c:spPr>
            <c:extLst>
              <c:ext xmlns:c16="http://schemas.microsoft.com/office/drawing/2014/chart" uri="{C3380CC4-5D6E-409C-BE32-E72D297353CC}">
                <c16:uniqueId val="{00000001-B6A7-4F1D-B3EA-69CE73DC54EB}"/>
              </c:ext>
            </c:extLst>
          </c:dPt>
          <c:dPt>
            <c:idx val="2"/>
            <c:bubble3D val="0"/>
            <c:spPr>
              <a:solidFill>
                <a:srgbClr val="FF3300"/>
              </a:solidFill>
              <a:ln>
                <a:solidFill>
                  <a:schemeClr val="tx1"/>
                </a:solidFill>
              </a:ln>
            </c:spPr>
            <c:extLst>
              <c:ext xmlns:c16="http://schemas.microsoft.com/office/drawing/2014/chart" uri="{C3380CC4-5D6E-409C-BE32-E72D297353CC}">
                <c16:uniqueId val="{00000002-B6A7-4F1D-B3EA-69CE73DC54EB}"/>
              </c:ext>
            </c:extLst>
          </c:dPt>
          <c:dLbls>
            <c:dLbl>
              <c:idx val="0"/>
              <c:layout>
                <c:manualLayout>
                  <c:x val="-4.609514435695538E-2"/>
                  <c:y val="5.4652595508894723E-2"/>
                </c:manualLayout>
              </c:layout>
              <c:spPr>
                <a:noFill/>
                <a:ln w="25400">
                  <a:noFill/>
                </a:ln>
              </c:spPr>
              <c:txPr>
                <a:bodyPr/>
                <a:lstStyle/>
                <a:p>
                  <a:pPr>
                    <a:defRPr sz="1050" b="1" i="0" u="none" strike="noStrike" baseline="0">
                      <a:solidFill>
                        <a:srgbClr val="000000"/>
                      </a:solidFill>
                      <a:latin typeface="Calibri"/>
                      <a:ea typeface="Calibri"/>
                      <a:cs typeface="Calibri"/>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6A7-4F1D-B3EA-69CE73DC54EB}"/>
                </c:ext>
              </c:extLst>
            </c:dLbl>
            <c:dLbl>
              <c:idx val="1"/>
              <c:layout>
                <c:manualLayout>
                  <c:x val="1.3488626421697288E-2"/>
                  <c:y val="5.9282225138524353E-2"/>
                </c:manualLayout>
              </c:layout>
              <c:spPr>
                <a:noFill/>
                <a:ln w="25400">
                  <a:noFill/>
                </a:ln>
              </c:spPr>
              <c:txPr>
                <a:bodyPr/>
                <a:lstStyle/>
                <a:p>
                  <a:pPr>
                    <a:defRPr sz="1050" b="1" i="0" u="none" strike="noStrike" baseline="0">
                      <a:solidFill>
                        <a:srgbClr val="000000"/>
                      </a:solidFill>
                      <a:latin typeface="Calibri"/>
                      <a:ea typeface="Calibri"/>
                      <a:cs typeface="Calibri"/>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6A7-4F1D-B3EA-69CE73DC54EB}"/>
                </c:ext>
              </c:extLst>
            </c:dLbl>
            <c:spPr>
              <a:noFill/>
              <a:ln w="25400">
                <a:noFill/>
              </a:ln>
            </c:spPr>
            <c:txPr>
              <a:bodyPr wrap="square" lIns="38100" tIns="19050" rIns="38100" bIns="19050" anchor="ctr">
                <a:spAutoFit/>
              </a:bodyPr>
              <a:lstStyle/>
              <a:p>
                <a:pPr>
                  <a:defRPr sz="105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Dependencias!$A$19:$A$21</c:f>
              <c:strCache>
                <c:ptCount val="3"/>
                <c:pt idx="0">
                  <c:v>Respondidas en los tèrminos señalados en la Ley 1755 de 2015</c:v>
                </c:pt>
                <c:pt idx="1">
                  <c:v>Respondidas fuera de los tèrminos</c:v>
                </c:pt>
                <c:pt idx="2">
                  <c:v>Aùn no han enviado o indexado respuesta</c:v>
                </c:pt>
              </c:strCache>
            </c:strRef>
          </c:cat>
          <c:val>
            <c:numRef>
              <c:f>Dependencias!$C$19:$C$21</c:f>
              <c:numCache>
                <c:formatCode>0%</c:formatCode>
                <c:ptCount val="3"/>
                <c:pt idx="0">
                  <c:v>1.1560693641618497E-2</c:v>
                </c:pt>
                <c:pt idx="1">
                  <c:v>1.1560693641618497E-2</c:v>
                </c:pt>
                <c:pt idx="2">
                  <c:v>0.97687861271676302</c:v>
                </c:pt>
              </c:numCache>
            </c:numRef>
          </c:val>
          <c:extLst>
            <c:ext xmlns:c16="http://schemas.microsoft.com/office/drawing/2014/chart" uri="{C3380CC4-5D6E-409C-BE32-E72D297353CC}">
              <c16:uniqueId val="{00000003-B6A7-4F1D-B3EA-69CE73DC54EB}"/>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wMode val="edge"/>
          <c:hMode val="edge"/>
          <c:x val="0.63874986724925287"/>
          <c:y val="0.35066071286543726"/>
          <c:w val="0.97113103636611897"/>
          <c:h val="0.64937155582824868"/>
        </c:manualLayout>
      </c:layout>
      <c:overlay val="0"/>
      <c:txPr>
        <a:bodyPr/>
        <a:lstStyle/>
        <a:p>
          <a:pPr>
            <a:defRPr sz="365" b="0" i="0" u="none" strike="noStrike" baseline="0">
              <a:solidFill>
                <a:srgbClr val="000000"/>
              </a:solidFill>
              <a:latin typeface="Calibri"/>
              <a:ea typeface="Calibri"/>
              <a:cs typeface="Calibri"/>
            </a:defRPr>
          </a:pPr>
          <a:endParaRPr lang="en-US"/>
        </a:p>
      </c:txPr>
    </c:legend>
    <c:plotVisOnly val="1"/>
    <c:dispBlanksAs val="zero"/>
    <c:showDLblsOverMax val="0"/>
  </c:chart>
  <c:spPr>
    <a:scene3d>
      <a:camera prst="orthographicFront"/>
      <a:lightRig rig="threePt" dir="t"/>
    </a:scene3d>
    <a:sp3d>
      <a:bevelT/>
    </a:sp3d>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749999999999999"/>
          <c:y val="3.8043478260869568E-2"/>
          <c:w val="0.45624999999999999"/>
          <c:h val="0.86684782608695654"/>
        </c:manualLayout>
      </c:layout>
      <c:barChart>
        <c:barDir val="bar"/>
        <c:grouping val="clustered"/>
        <c:varyColors val="0"/>
        <c:ser>
          <c:idx val="0"/>
          <c:order val="0"/>
          <c:spPr>
            <a:solidFill>
              <a:srgbClr val="92D050"/>
            </a:solidFill>
            <a:ln>
              <a:solidFill>
                <a:schemeClr val="tx1"/>
              </a:solidFill>
            </a:ln>
          </c:spPr>
          <c:invertIfNegative val="0"/>
          <c:dPt>
            <c:idx val="0"/>
            <c:invertIfNegative val="0"/>
            <c:bubble3D val="0"/>
            <c:spPr>
              <a:solidFill>
                <a:schemeClr val="accent6">
                  <a:lumMod val="75000"/>
                </a:schemeClr>
              </a:solidFill>
              <a:ln>
                <a:solidFill>
                  <a:schemeClr val="tx1"/>
                </a:solidFill>
              </a:ln>
            </c:spPr>
            <c:extLst>
              <c:ext xmlns:c16="http://schemas.microsoft.com/office/drawing/2014/chart" uri="{C3380CC4-5D6E-409C-BE32-E72D297353CC}">
                <c16:uniqueId val="{00000000-E65E-4D8A-9880-9562D926D422}"/>
              </c:ext>
            </c:extLst>
          </c:dPt>
          <c:dPt>
            <c:idx val="1"/>
            <c:invertIfNegative val="0"/>
            <c:bubble3D val="0"/>
            <c:spPr>
              <a:solidFill>
                <a:srgbClr val="FFC000"/>
              </a:solidFill>
              <a:ln>
                <a:solidFill>
                  <a:schemeClr val="tx1"/>
                </a:solidFill>
              </a:ln>
            </c:spPr>
            <c:extLst>
              <c:ext xmlns:c16="http://schemas.microsoft.com/office/drawing/2014/chart" uri="{C3380CC4-5D6E-409C-BE32-E72D297353CC}">
                <c16:uniqueId val="{00000001-E65E-4D8A-9880-9562D926D422}"/>
              </c:ext>
            </c:extLst>
          </c:dPt>
          <c:dPt>
            <c:idx val="3"/>
            <c:invertIfNegative val="0"/>
            <c:bubble3D val="0"/>
            <c:spPr>
              <a:solidFill>
                <a:srgbClr val="FFFF00"/>
              </a:solidFill>
              <a:ln>
                <a:solidFill>
                  <a:schemeClr val="tx1"/>
                </a:solidFill>
              </a:ln>
            </c:spPr>
            <c:extLst>
              <c:ext xmlns:c16="http://schemas.microsoft.com/office/drawing/2014/chart" uri="{C3380CC4-5D6E-409C-BE32-E72D297353CC}">
                <c16:uniqueId val="{00000002-E65E-4D8A-9880-9562D926D422}"/>
              </c:ext>
            </c:extLst>
          </c:dPt>
          <c:dPt>
            <c:idx val="4"/>
            <c:invertIfNegative val="0"/>
            <c:bubble3D val="0"/>
            <c:spPr>
              <a:solidFill>
                <a:srgbClr val="FFFF00"/>
              </a:solidFill>
              <a:ln>
                <a:solidFill>
                  <a:schemeClr val="tx1"/>
                </a:solidFill>
              </a:ln>
            </c:spPr>
            <c:extLst>
              <c:ext xmlns:c16="http://schemas.microsoft.com/office/drawing/2014/chart" uri="{C3380CC4-5D6E-409C-BE32-E72D297353CC}">
                <c16:uniqueId val="{00000003-E65E-4D8A-9880-9562D926D422}"/>
              </c:ext>
            </c:extLst>
          </c:dPt>
          <c:dPt>
            <c:idx val="7"/>
            <c:invertIfNegative val="0"/>
            <c:bubble3D val="0"/>
            <c:spPr>
              <a:solidFill>
                <a:srgbClr val="FFFF00"/>
              </a:solidFill>
              <a:ln>
                <a:solidFill>
                  <a:schemeClr val="tx1"/>
                </a:solidFill>
              </a:ln>
            </c:spPr>
            <c:extLst>
              <c:ext xmlns:c16="http://schemas.microsoft.com/office/drawing/2014/chart" uri="{C3380CC4-5D6E-409C-BE32-E72D297353CC}">
                <c16:uniqueId val="{00000004-E65E-4D8A-9880-9562D926D422}"/>
              </c:ext>
            </c:extLst>
          </c:dPt>
          <c:dPt>
            <c:idx val="8"/>
            <c:invertIfNegative val="0"/>
            <c:bubble3D val="0"/>
            <c:spPr>
              <a:solidFill>
                <a:schemeClr val="accent6">
                  <a:lumMod val="75000"/>
                </a:schemeClr>
              </a:solidFill>
              <a:ln>
                <a:solidFill>
                  <a:schemeClr val="tx1"/>
                </a:solidFill>
              </a:ln>
            </c:spPr>
            <c:extLst>
              <c:ext xmlns:c16="http://schemas.microsoft.com/office/drawing/2014/chart" uri="{C3380CC4-5D6E-409C-BE32-E72D297353CC}">
                <c16:uniqueId val="{00000005-E65E-4D8A-9880-9562D926D422}"/>
              </c:ext>
            </c:extLst>
          </c:dPt>
          <c:dPt>
            <c:idx val="10"/>
            <c:invertIfNegative val="0"/>
            <c:bubble3D val="0"/>
            <c:spPr>
              <a:solidFill>
                <a:srgbClr val="FFFF00"/>
              </a:solidFill>
              <a:ln>
                <a:solidFill>
                  <a:schemeClr val="tx1"/>
                </a:solidFill>
              </a:ln>
            </c:spPr>
            <c:extLst>
              <c:ext xmlns:c16="http://schemas.microsoft.com/office/drawing/2014/chart" uri="{C3380CC4-5D6E-409C-BE32-E72D297353CC}">
                <c16:uniqueId val="{00000006-E65E-4D8A-9880-9562D926D422}"/>
              </c:ext>
            </c:extLst>
          </c:dPt>
          <c:dLbls>
            <c:spPr>
              <a:noFill/>
              <a:ln w="25400">
                <a:noFill/>
              </a:ln>
            </c:spPr>
            <c:txPr>
              <a:bodyPr wrap="square" lIns="38100" tIns="19050" rIns="38100" bIns="19050" anchor="ctr">
                <a:spAutoFit/>
              </a:bodyPr>
              <a:lstStyle/>
              <a:p>
                <a:pPr>
                  <a:defRPr sz="105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Dependencias!$J$2:$J$20</c:f>
              <c:strCache>
                <c:ptCount val="19"/>
                <c:pt idx="0">
                  <c:v>Delegada de Notariado</c:v>
                </c:pt>
                <c:pt idx="1">
                  <c:v>Delegada de Registro</c:v>
                </c:pt>
                <c:pt idx="2">
                  <c:v>Delegada de Tierras</c:v>
                </c:pt>
                <c:pt idx="3">
                  <c:v>Direcciòn Administrativa y Financiera</c:v>
                </c:pt>
                <c:pt idx="4">
                  <c:v>Direcciòn Administraciòn Notarial</c:v>
                </c:pt>
                <c:pt idx="5">
                  <c:v>Direcciòn de Talento Humano</c:v>
                </c:pt>
                <c:pt idx="6">
                  <c:v>Direcciòn Vigilancia y Control Notarial</c:v>
                </c:pt>
                <c:pt idx="7">
                  <c:v>Direcciòn Tècnica de Registro</c:v>
                </c:pt>
                <c:pt idx="8">
                  <c:v>Oficina Asesora Jurìdica</c:v>
                </c:pt>
                <c:pt idx="9">
                  <c:v>Oficina Control Interno Disciplinario</c:v>
                </c:pt>
                <c:pt idx="10">
                  <c:v>Oficina Tecnologìas de la Informaciòn</c:v>
                </c:pt>
                <c:pt idx="11">
                  <c:v>Secretaria General</c:v>
                </c:pt>
                <c:pt idx="12">
                  <c:v>Subdirecciòn de Apoyo Jurìdica Registral</c:v>
                </c:pt>
                <c:pt idx="13">
                  <c:v>Grupo Servicios Administrativos</c:v>
                </c:pt>
                <c:pt idx="14">
                  <c:v>Grupo de Divulgaciòn </c:v>
                </c:pt>
                <c:pt idx="15">
                  <c:v>Despacho Superintendente</c:v>
                </c:pt>
                <c:pt idx="16">
                  <c:v>Direcciòn Talento Humano</c:v>
                </c:pt>
                <c:pt idx="17">
                  <c:v>Grupo Gestiòn Documental</c:v>
                </c:pt>
                <c:pt idx="18">
                  <c:v>Oficina Asesora de Planeaciòn</c:v>
                </c:pt>
              </c:strCache>
            </c:strRef>
          </c:cat>
          <c:val>
            <c:numRef>
              <c:f>Dependencias!$L$2:$L$20</c:f>
              <c:numCache>
                <c:formatCode>0%</c:formatCode>
                <c:ptCount val="19"/>
                <c:pt idx="0">
                  <c:v>0.26589595375722541</c:v>
                </c:pt>
                <c:pt idx="1">
                  <c:v>0.12138728323699421</c:v>
                </c:pt>
                <c:pt idx="2">
                  <c:v>2.3121387283236993E-2</c:v>
                </c:pt>
                <c:pt idx="3">
                  <c:v>4.6242774566473986E-2</c:v>
                </c:pt>
                <c:pt idx="4">
                  <c:v>4.6242774566473986E-2</c:v>
                </c:pt>
                <c:pt idx="5">
                  <c:v>1.7341040462427744E-2</c:v>
                </c:pt>
                <c:pt idx="6">
                  <c:v>2.8901734104046242E-2</c:v>
                </c:pt>
                <c:pt idx="7">
                  <c:v>6.358381502890173E-2</c:v>
                </c:pt>
                <c:pt idx="8">
                  <c:v>0.23121387283236994</c:v>
                </c:pt>
                <c:pt idx="9">
                  <c:v>5.7803468208092483E-3</c:v>
                </c:pt>
                <c:pt idx="10">
                  <c:v>6.9364161849710976E-2</c:v>
                </c:pt>
                <c:pt idx="11">
                  <c:v>5.7803468208092483E-3</c:v>
                </c:pt>
                <c:pt idx="12">
                  <c:v>2.8901734104046242E-2</c:v>
                </c:pt>
                <c:pt idx="13">
                  <c:v>5.7803468208092483E-3</c:v>
                </c:pt>
                <c:pt idx="14">
                  <c:v>5.7803468208092483E-3</c:v>
                </c:pt>
                <c:pt idx="15">
                  <c:v>5.7803468208092483E-3</c:v>
                </c:pt>
                <c:pt idx="16">
                  <c:v>1.1560693641618497E-2</c:v>
                </c:pt>
                <c:pt idx="17">
                  <c:v>5.7803468208092483E-3</c:v>
                </c:pt>
                <c:pt idx="18">
                  <c:v>1.1560693641618497E-2</c:v>
                </c:pt>
              </c:numCache>
            </c:numRef>
          </c:val>
          <c:extLst>
            <c:ext xmlns:c16="http://schemas.microsoft.com/office/drawing/2014/chart" uri="{C3380CC4-5D6E-409C-BE32-E72D297353CC}">
              <c16:uniqueId val="{00000007-E65E-4D8A-9880-9562D926D422}"/>
            </c:ext>
          </c:extLst>
        </c:ser>
        <c:dLbls>
          <c:showLegendKey val="0"/>
          <c:showVal val="0"/>
          <c:showCatName val="0"/>
          <c:showSerName val="0"/>
          <c:showPercent val="0"/>
          <c:showBubbleSize val="0"/>
        </c:dLbls>
        <c:gapWidth val="150"/>
        <c:axId val="49847648"/>
        <c:axId val="1"/>
      </c:barChart>
      <c:catAx>
        <c:axId val="49847648"/>
        <c:scaling>
          <c:orientation val="minMax"/>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b"/>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9847648"/>
        <c:crosses val="autoZero"/>
        <c:crossBetween val="between"/>
      </c:valAx>
    </c:plotArea>
    <c:plotVisOnly val="1"/>
    <c:dispBlanksAs val="gap"/>
    <c:showDLblsOverMax val="0"/>
  </c:chart>
  <c:spPr>
    <a:scene3d>
      <a:camera prst="orthographicFront"/>
      <a:lightRig rig="threePt" dir="t"/>
    </a:scene3d>
    <a:sp3d>
      <a:bevelT/>
    </a:sp3d>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
          <c:y val="7.4468085106382975E-2"/>
          <c:w val="0.83238636363636365"/>
          <c:h val="0.37234042553191488"/>
        </c:manualLayout>
      </c:layout>
      <c:barChart>
        <c:barDir val="col"/>
        <c:grouping val="clustered"/>
        <c:varyColors val="0"/>
        <c:ser>
          <c:idx val="0"/>
          <c:order val="0"/>
          <c:spPr>
            <a:ln>
              <a:solidFill>
                <a:schemeClr val="tx1"/>
              </a:solidFill>
            </a:ln>
          </c:spPr>
          <c:invertIfNegative val="0"/>
          <c:dPt>
            <c:idx val="0"/>
            <c:invertIfNegative val="0"/>
            <c:bubble3D val="0"/>
            <c:spPr>
              <a:solidFill>
                <a:srgbClr val="FFFF00"/>
              </a:solidFill>
              <a:ln>
                <a:solidFill>
                  <a:schemeClr val="tx1"/>
                </a:solidFill>
              </a:ln>
            </c:spPr>
            <c:extLst>
              <c:ext xmlns:c16="http://schemas.microsoft.com/office/drawing/2014/chart" uri="{C3380CC4-5D6E-409C-BE32-E72D297353CC}">
                <c16:uniqueId val="{00000000-D2ED-445C-BECF-07570CD35363}"/>
              </c:ext>
            </c:extLst>
          </c:dPt>
          <c:dPt>
            <c:idx val="1"/>
            <c:invertIfNegative val="0"/>
            <c:bubble3D val="0"/>
            <c:spPr>
              <a:solidFill>
                <a:srgbClr val="92D050"/>
              </a:solidFill>
              <a:ln>
                <a:solidFill>
                  <a:schemeClr val="tx1"/>
                </a:solidFill>
              </a:ln>
            </c:spPr>
            <c:extLst>
              <c:ext xmlns:c16="http://schemas.microsoft.com/office/drawing/2014/chart" uri="{C3380CC4-5D6E-409C-BE32-E72D297353CC}">
                <c16:uniqueId val="{00000001-D2ED-445C-BECF-07570CD35363}"/>
              </c:ext>
            </c:extLst>
          </c:dPt>
          <c:dPt>
            <c:idx val="2"/>
            <c:invertIfNegative val="0"/>
            <c:bubble3D val="0"/>
            <c:spPr>
              <a:solidFill>
                <a:srgbClr val="92D050"/>
              </a:solidFill>
              <a:ln>
                <a:solidFill>
                  <a:schemeClr val="tx1"/>
                </a:solidFill>
              </a:ln>
            </c:spPr>
            <c:extLst>
              <c:ext xmlns:c16="http://schemas.microsoft.com/office/drawing/2014/chart" uri="{C3380CC4-5D6E-409C-BE32-E72D297353CC}">
                <c16:uniqueId val="{00000002-D2ED-445C-BECF-07570CD35363}"/>
              </c:ext>
            </c:extLst>
          </c:dPt>
          <c:dPt>
            <c:idx val="3"/>
            <c:invertIfNegative val="0"/>
            <c:bubble3D val="0"/>
            <c:spPr>
              <a:solidFill>
                <a:srgbClr val="FFFF00"/>
              </a:solidFill>
              <a:ln>
                <a:solidFill>
                  <a:schemeClr val="tx1"/>
                </a:solidFill>
              </a:ln>
            </c:spPr>
            <c:extLst>
              <c:ext xmlns:c16="http://schemas.microsoft.com/office/drawing/2014/chart" uri="{C3380CC4-5D6E-409C-BE32-E72D297353CC}">
                <c16:uniqueId val="{00000003-D2ED-445C-BECF-07570CD35363}"/>
              </c:ext>
            </c:extLst>
          </c:dPt>
          <c:dPt>
            <c:idx val="4"/>
            <c:invertIfNegative val="0"/>
            <c:bubble3D val="0"/>
            <c:spPr>
              <a:solidFill>
                <a:srgbClr val="92D050"/>
              </a:solidFill>
              <a:ln>
                <a:solidFill>
                  <a:schemeClr val="tx1"/>
                </a:solidFill>
              </a:ln>
            </c:spPr>
            <c:extLst>
              <c:ext xmlns:c16="http://schemas.microsoft.com/office/drawing/2014/chart" uri="{C3380CC4-5D6E-409C-BE32-E72D297353CC}">
                <c16:uniqueId val="{00000004-D2ED-445C-BECF-07570CD35363}"/>
              </c:ext>
            </c:extLst>
          </c:dPt>
          <c:dPt>
            <c:idx val="5"/>
            <c:invertIfNegative val="0"/>
            <c:bubble3D val="0"/>
            <c:spPr>
              <a:solidFill>
                <a:srgbClr val="FFFF00"/>
              </a:solidFill>
              <a:ln>
                <a:solidFill>
                  <a:schemeClr val="tx1"/>
                </a:solidFill>
              </a:ln>
            </c:spPr>
            <c:extLst>
              <c:ext xmlns:c16="http://schemas.microsoft.com/office/drawing/2014/chart" uri="{C3380CC4-5D6E-409C-BE32-E72D297353CC}">
                <c16:uniqueId val="{00000005-D2ED-445C-BECF-07570CD35363}"/>
              </c:ext>
            </c:extLst>
          </c:dPt>
          <c:dPt>
            <c:idx val="6"/>
            <c:invertIfNegative val="0"/>
            <c:bubble3D val="0"/>
            <c:spPr>
              <a:solidFill>
                <a:srgbClr val="F79646">
                  <a:lumMod val="75000"/>
                </a:srgbClr>
              </a:solidFill>
              <a:ln>
                <a:solidFill>
                  <a:schemeClr val="tx1"/>
                </a:solidFill>
              </a:ln>
            </c:spPr>
            <c:extLst>
              <c:ext xmlns:c16="http://schemas.microsoft.com/office/drawing/2014/chart" uri="{C3380CC4-5D6E-409C-BE32-E72D297353CC}">
                <c16:uniqueId val="{00000006-D2ED-445C-BECF-07570CD35363}"/>
              </c:ext>
            </c:extLst>
          </c:dPt>
          <c:dPt>
            <c:idx val="7"/>
            <c:invertIfNegative val="0"/>
            <c:bubble3D val="0"/>
            <c:spPr>
              <a:solidFill>
                <a:schemeClr val="accent6">
                  <a:lumMod val="75000"/>
                </a:schemeClr>
              </a:solidFill>
              <a:ln>
                <a:solidFill>
                  <a:schemeClr val="tx1"/>
                </a:solidFill>
              </a:ln>
            </c:spPr>
            <c:extLst>
              <c:ext xmlns:c16="http://schemas.microsoft.com/office/drawing/2014/chart" uri="{C3380CC4-5D6E-409C-BE32-E72D297353CC}">
                <c16:uniqueId val="{00000007-D2ED-445C-BECF-07570CD35363}"/>
              </c:ext>
            </c:extLst>
          </c:dPt>
          <c:dPt>
            <c:idx val="8"/>
            <c:invertIfNegative val="0"/>
            <c:bubble3D val="0"/>
            <c:spPr>
              <a:solidFill>
                <a:srgbClr val="92D050"/>
              </a:solidFill>
              <a:ln>
                <a:solidFill>
                  <a:schemeClr val="tx1"/>
                </a:solidFill>
              </a:ln>
            </c:spPr>
            <c:extLst>
              <c:ext xmlns:c16="http://schemas.microsoft.com/office/drawing/2014/chart" uri="{C3380CC4-5D6E-409C-BE32-E72D297353CC}">
                <c16:uniqueId val="{00000008-D2ED-445C-BECF-07570CD35363}"/>
              </c:ext>
            </c:extLst>
          </c:dPt>
          <c:dLbls>
            <c:spPr>
              <a:noFill/>
              <a:ln w="25400">
                <a:noFill/>
              </a:ln>
            </c:spPr>
            <c:txPr>
              <a:bodyPr wrap="square" lIns="38100" tIns="19050" rIns="38100" bIns="19050" anchor="ctr">
                <a:spAutoFit/>
              </a:bodyPr>
              <a:lstStyle/>
              <a:p>
                <a:pPr>
                  <a:defRPr sz="105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Dependencias!$A$24:$A$32</c:f>
              <c:strCache>
                <c:ptCount val="9"/>
                <c:pt idx="0">
                  <c:v>Consulta</c:v>
                </c:pt>
                <c:pt idx="1">
                  <c:v>Denuncia </c:v>
                </c:pt>
                <c:pt idx="2">
                  <c:v>Estado Radicado</c:v>
                </c:pt>
                <c:pt idx="3">
                  <c:v>Notificaciòn</c:v>
                </c:pt>
                <c:pt idx="4">
                  <c:v>Peticiòn Informativa</c:v>
                </c:pt>
                <c:pt idx="5">
                  <c:v>Queja </c:v>
                </c:pt>
                <c:pt idx="6">
                  <c:v>Reclamo</c:v>
                </c:pt>
                <c:pt idx="7">
                  <c:v>Solicitud</c:v>
                </c:pt>
                <c:pt idx="8">
                  <c:v>Tutela</c:v>
                </c:pt>
              </c:strCache>
            </c:strRef>
          </c:cat>
          <c:val>
            <c:numRef>
              <c:f>Dependencias!$C$24:$C$32</c:f>
              <c:numCache>
                <c:formatCode>0%</c:formatCode>
                <c:ptCount val="9"/>
                <c:pt idx="0">
                  <c:v>8.6705202312138727E-2</c:v>
                </c:pt>
                <c:pt idx="1">
                  <c:v>2.3121387283236993E-2</c:v>
                </c:pt>
                <c:pt idx="2">
                  <c:v>5.7803468208092484E-2</c:v>
                </c:pt>
                <c:pt idx="3">
                  <c:v>0.11560693641618497</c:v>
                </c:pt>
                <c:pt idx="4">
                  <c:v>9.2485549132947972E-2</c:v>
                </c:pt>
                <c:pt idx="5">
                  <c:v>0.12716763005780346</c:v>
                </c:pt>
                <c:pt idx="6">
                  <c:v>0.22543352601156069</c:v>
                </c:pt>
                <c:pt idx="7">
                  <c:v>0.26589595375722541</c:v>
                </c:pt>
                <c:pt idx="8">
                  <c:v>5.7803468208092483E-3</c:v>
                </c:pt>
              </c:numCache>
            </c:numRef>
          </c:val>
          <c:extLst>
            <c:ext xmlns:c16="http://schemas.microsoft.com/office/drawing/2014/chart" uri="{C3380CC4-5D6E-409C-BE32-E72D297353CC}">
              <c16:uniqueId val="{00000009-D2ED-445C-BECF-07570CD35363}"/>
            </c:ext>
          </c:extLst>
        </c:ser>
        <c:dLbls>
          <c:showLegendKey val="0"/>
          <c:showVal val="0"/>
          <c:showCatName val="0"/>
          <c:showSerName val="0"/>
          <c:showPercent val="0"/>
          <c:showBubbleSize val="0"/>
        </c:dLbls>
        <c:gapWidth val="150"/>
        <c:axId val="49842080"/>
        <c:axId val="1"/>
      </c:barChart>
      <c:catAx>
        <c:axId val="49842080"/>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9842080"/>
        <c:crosses val="autoZero"/>
        <c:crossBetween val="between"/>
      </c:valAx>
    </c:plotArea>
    <c:plotVisOnly val="1"/>
    <c:dispBlanksAs val="gap"/>
    <c:showDLblsOverMax val="0"/>
  </c:chart>
  <c:spPr>
    <a:scene3d>
      <a:camera prst="orthographicFront"/>
      <a:lightRig rig="threePt" dir="t"/>
    </a:scene3d>
    <a:sp3d>
      <a:bevelT/>
    </a:sp3d>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5056179775280899"/>
          <c:y val="3.4567901234567898E-2"/>
          <c:w val="0.43370786516853932"/>
          <c:h val="0.87901234567901232"/>
        </c:manualLayout>
      </c:layout>
      <c:barChart>
        <c:barDir val="bar"/>
        <c:grouping val="clustered"/>
        <c:varyColors val="0"/>
        <c:ser>
          <c:idx val="0"/>
          <c:order val="0"/>
          <c:spPr>
            <a:ln>
              <a:solidFill>
                <a:schemeClr val="tx1"/>
              </a:solidFill>
            </a:ln>
          </c:spPr>
          <c:invertIfNegative val="0"/>
          <c:dPt>
            <c:idx val="0"/>
            <c:invertIfNegative val="0"/>
            <c:bubble3D val="0"/>
            <c:spPr>
              <a:solidFill>
                <a:srgbClr val="FFFF00"/>
              </a:solidFill>
              <a:ln>
                <a:solidFill>
                  <a:schemeClr val="tx1"/>
                </a:solidFill>
              </a:ln>
            </c:spPr>
            <c:extLst>
              <c:ext xmlns:c16="http://schemas.microsoft.com/office/drawing/2014/chart" uri="{C3380CC4-5D6E-409C-BE32-E72D297353CC}">
                <c16:uniqueId val="{00000000-4809-4179-8AC1-97F6479FB3B3}"/>
              </c:ext>
            </c:extLst>
          </c:dPt>
          <c:dPt>
            <c:idx val="1"/>
            <c:invertIfNegative val="0"/>
            <c:bubble3D val="0"/>
            <c:spPr>
              <a:solidFill>
                <a:srgbClr val="FFFF00"/>
              </a:solidFill>
              <a:ln>
                <a:solidFill>
                  <a:schemeClr val="tx1"/>
                </a:solidFill>
              </a:ln>
            </c:spPr>
            <c:extLst>
              <c:ext xmlns:c16="http://schemas.microsoft.com/office/drawing/2014/chart" uri="{C3380CC4-5D6E-409C-BE32-E72D297353CC}">
                <c16:uniqueId val="{00000001-4809-4179-8AC1-97F6479FB3B3}"/>
              </c:ext>
            </c:extLst>
          </c:dPt>
          <c:dPt>
            <c:idx val="2"/>
            <c:invertIfNegative val="0"/>
            <c:bubble3D val="0"/>
            <c:spPr>
              <a:solidFill>
                <a:srgbClr val="FFFF00"/>
              </a:solidFill>
              <a:ln>
                <a:solidFill>
                  <a:schemeClr val="tx1"/>
                </a:solidFill>
              </a:ln>
            </c:spPr>
            <c:extLst>
              <c:ext xmlns:c16="http://schemas.microsoft.com/office/drawing/2014/chart" uri="{C3380CC4-5D6E-409C-BE32-E72D297353CC}">
                <c16:uniqueId val="{00000002-4809-4179-8AC1-97F6479FB3B3}"/>
              </c:ext>
            </c:extLst>
          </c:dPt>
          <c:dPt>
            <c:idx val="3"/>
            <c:invertIfNegative val="0"/>
            <c:bubble3D val="0"/>
            <c:spPr>
              <a:solidFill>
                <a:srgbClr val="FFFF00"/>
              </a:solidFill>
              <a:ln>
                <a:solidFill>
                  <a:schemeClr val="tx1"/>
                </a:solidFill>
              </a:ln>
            </c:spPr>
            <c:extLst>
              <c:ext xmlns:c16="http://schemas.microsoft.com/office/drawing/2014/chart" uri="{C3380CC4-5D6E-409C-BE32-E72D297353CC}">
                <c16:uniqueId val="{00000003-4809-4179-8AC1-97F6479FB3B3}"/>
              </c:ext>
            </c:extLst>
          </c:dPt>
          <c:dPt>
            <c:idx val="4"/>
            <c:invertIfNegative val="0"/>
            <c:bubble3D val="0"/>
            <c:spPr>
              <a:solidFill>
                <a:srgbClr val="FFC000"/>
              </a:solidFill>
              <a:ln>
                <a:solidFill>
                  <a:schemeClr val="tx1"/>
                </a:solidFill>
              </a:ln>
            </c:spPr>
            <c:extLst>
              <c:ext xmlns:c16="http://schemas.microsoft.com/office/drawing/2014/chart" uri="{C3380CC4-5D6E-409C-BE32-E72D297353CC}">
                <c16:uniqueId val="{00000004-4809-4179-8AC1-97F6479FB3B3}"/>
              </c:ext>
            </c:extLst>
          </c:dPt>
          <c:dPt>
            <c:idx val="5"/>
            <c:invertIfNegative val="0"/>
            <c:bubble3D val="0"/>
            <c:spPr>
              <a:solidFill>
                <a:srgbClr val="92D050"/>
              </a:solidFill>
              <a:ln>
                <a:solidFill>
                  <a:schemeClr val="tx1"/>
                </a:solidFill>
              </a:ln>
            </c:spPr>
            <c:extLst>
              <c:ext xmlns:c16="http://schemas.microsoft.com/office/drawing/2014/chart" uri="{C3380CC4-5D6E-409C-BE32-E72D297353CC}">
                <c16:uniqueId val="{00000005-4809-4179-8AC1-97F6479FB3B3}"/>
              </c:ext>
            </c:extLst>
          </c:dPt>
          <c:dPt>
            <c:idx val="8"/>
            <c:invertIfNegative val="0"/>
            <c:bubble3D val="0"/>
            <c:spPr>
              <a:solidFill>
                <a:srgbClr val="FFFF00"/>
              </a:solidFill>
              <a:ln>
                <a:solidFill>
                  <a:schemeClr val="tx1"/>
                </a:solidFill>
              </a:ln>
            </c:spPr>
            <c:extLst>
              <c:ext xmlns:c16="http://schemas.microsoft.com/office/drawing/2014/chart" uri="{C3380CC4-5D6E-409C-BE32-E72D297353CC}">
                <c16:uniqueId val="{00000006-4809-4179-8AC1-97F6479FB3B3}"/>
              </c:ext>
            </c:extLst>
          </c:dPt>
          <c:dPt>
            <c:idx val="9"/>
            <c:invertIfNegative val="0"/>
            <c:bubble3D val="0"/>
            <c:spPr>
              <a:solidFill>
                <a:srgbClr val="92D050"/>
              </a:solidFill>
              <a:ln>
                <a:solidFill>
                  <a:schemeClr val="tx1"/>
                </a:solidFill>
              </a:ln>
            </c:spPr>
            <c:extLst>
              <c:ext xmlns:c16="http://schemas.microsoft.com/office/drawing/2014/chart" uri="{C3380CC4-5D6E-409C-BE32-E72D297353CC}">
                <c16:uniqueId val="{00000007-4809-4179-8AC1-97F6479FB3B3}"/>
              </c:ext>
            </c:extLst>
          </c:dPt>
          <c:dPt>
            <c:idx val="11"/>
            <c:invertIfNegative val="0"/>
            <c:bubble3D val="0"/>
            <c:spPr>
              <a:solidFill>
                <a:srgbClr val="FFC000"/>
              </a:solidFill>
              <a:ln>
                <a:solidFill>
                  <a:schemeClr val="tx1"/>
                </a:solidFill>
              </a:ln>
            </c:spPr>
            <c:extLst>
              <c:ext xmlns:c16="http://schemas.microsoft.com/office/drawing/2014/chart" uri="{C3380CC4-5D6E-409C-BE32-E72D297353CC}">
                <c16:uniqueId val="{00000008-4809-4179-8AC1-97F6479FB3B3}"/>
              </c:ext>
            </c:extLst>
          </c:dPt>
          <c:dPt>
            <c:idx val="12"/>
            <c:invertIfNegative val="0"/>
            <c:bubble3D val="0"/>
            <c:spPr>
              <a:solidFill>
                <a:srgbClr val="FFC000"/>
              </a:solidFill>
              <a:ln>
                <a:solidFill>
                  <a:schemeClr val="tx1"/>
                </a:solidFill>
              </a:ln>
            </c:spPr>
            <c:extLst>
              <c:ext xmlns:c16="http://schemas.microsoft.com/office/drawing/2014/chart" uri="{C3380CC4-5D6E-409C-BE32-E72D297353CC}">
                <c16:uniqueId val="{00000009-4809-4179-8AC1-97F6479FB3B3}"/>
              </c:ext>
            </c:extLst>
          </c:dPt>
          <c:dPt>
            <c:idx val="13"/>
            <c:invertIfNegative val="0"/>
            <c:bubble3D val="0"/>
            <c:spPr>
              <a:solidFill>
                <a:srgbClr val="92D050"/>
              </a:solidFill>
              <a:ln>
                <a:solidFill>
                  <a:schemeClr val="tx1"/>
                </a:solidFill>
              </a:ln>
            </c:spPr>
            <c:extLst>
              <c:ext xmlns:c16="http://schemas.microsoft.com/office/drawing/2014/chart" uri="{C3380CC4-5D6E-409C-BE32-E72D297353CC}">
                <c16:uniqueId val="{0000000A-4809-4179-8AC1-97F6479FB3B3}"/>
              </c:ext>
            </c:extLst>
          </c:dPt>
          <c:dPt>
            <c:idx val="14"/>
            <c:invertIfNegative val="0"/>
            <c:bubble3D val="0"/>
            <c:spPr>
              <a:solidFill>
                <a:schemeClr val="accent6">
                  <a:lumMod val="75000"/>
                </a:schemeClr>
              </a:solidFill>
              <a:ln>
                <a:solidFill>
                  <a:schemeClr val="tx1"/>
                </a:solidFill>
              </a:ln>
            </c:spPr>
            <c:extLst>
              <c:ext xmlns:c16="http://schemas.microsoft.com/office/drawing/2014/chart" uri="{C3380CC4-5D6E-409C-BE32-E72D297353CC}">
                <c16:uniqueId val="{0000000B-4809-4179-8AC1-97F6479FB3B3}"/>
              </c:ext>
            </c:extLst>
          </c:dPt>
          <c:dPt>
            <c:idx val="15"/>
            <c:invertIfNegative val="0"/>
            <c:bubble3D val="0"/>
            <c:spPr>
              <a:solidFill>
                <a:srgbClr val="FFC000"/>
              </a:solidFill>
              <a:ln>
                <a:solidFill>
                  <a:schemeClr val="tx1"/>
                </a:solidFill>
              </a:ln>
            </c:spPr>
            <c:extLst>
              <c:ext xmlns:c16="http://schemas.microsoft.com/office/drawing/2014/chart" uri="{C3380CC4-5D6E-409C-BE32-E72D297353CC}">
                <c16:uniqueId val="{0000000C-4809-4179-8AC1-97F6479FB3B3}"/>
              </c:ext>
            </c:extLst>
          </c:dPt>
          <c:dPt>
            <c:idx val="16"/>
            <c:invertIfNegative val="0"/>
            <c:bubble3D val="0"/>
            <c:spPr>
              <a:solidFill>
                <a:srgbClr val="92D050"/>
              </a:solidFill>
              <a:ln>
                <a:solidFill>
                  <a:schemeClr val="tx1"/>
                </a:solidFill>
              </a:ln>
            </c:spPr>
            <c:extLst>
              <c:ext xmlns:c16="http://schemas.microsoft.com/office/drawing/2014/chart" uri="{C3380CC4-5D6E-409C-BE32-E72D297353CC}">
                <c16:uniqueId val="{0000000D-4809-4179-8AC1-97F6479FB3B3}"/>
              </c:ext>
            </c:extLst>
          </c:dPt>
          <c:dLbls>
            <c:spPr>
              <a:noFill/>
              <a:ln w="25400">
                <a:noFill/>
              </a:ln>
            </c:spPr>
            <c:txPr>
              <a:bodyPr wrap="square" lIns="38100" tIns="19050" rIns="38100" bIns="19050" anchor="ctr">
                <a:spAutoFit/>
              </a:bodyPr>
              <a:lstStyle/>
              <a:p>
                <a:pPr>
                  <a:defRPr sz="105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Dependencias!$A$36:$A$52</c:f>
              <c:strCache>
                <c:ptCount val="17"/>
                <c:pt idx="0">
                  <c:v>Demora Tràmite Notarial</c:v>
                </c:pt>
                <c:pt idx="1">
                  <c:v>Informaciòn General</c:v>
                </c:pt>
                <c:pt idx="2">
                  <c:v>Liquidaciòn Derechos Notariales</c:v>
                </c:pt>
                <c:pt idx="3">
                  <c:v>Mala prestaciòn del servicio Notarial</c:v>
                </c:pt>
                <c:pt idx="4">
                  <c:v>Tràmite Notarial</c:v>
                </c:pt>
                <c:pt idx="5">
                  <c:v>Estado Radicado</c:v>
                </c:pt>
                <c:pt idx="6">
                  <c:v>Proceso Biometrìa </c:v>
                </c:pt>
                <c:pt idx="7">
                  <c:v>Actualizaciòn</c:v>
                </c:pt>
                <c:pt idx="8">
                  <c:v>Certificado en Lìnea</c:v>
                </c:pt>
                <c:pt idx="9">
                  <c:v>Demora Tràmite Registral</c:v>
                </c:pt>
                <c:pt idx="10">
                  <c:v>Estado Recursos de Apelaciòn</c:v>
                </c:pt>
                <c:pt idx="11">
                  <c:v>Notificaciòn</c:v>
                </c:pt>
                <c:pt idx="12">
                  <c:v>Tràmite Registral</c:v>
                </c:pt>
                <c:pt idx="13">
                  <c:v>Mala prestaciòn del Servicio Registral</c:v>
                </c:pt>
                <c:pt idx="14">
                  <c:v>Tràmite en la SNR</c:v>
                </c:pt>
                <c:pt idx="15">
                  <c:v>Consulta Jurìdica</c:v>
                </c:pt>
                <c:pt idx="16">
                  <c:v>Reparto Notarial </c:v>
                </c:pt>
              </c:strCache>
            </c:strRef>
          </c:cat>
          <c:val>
            <c:numRef>
              <c:f>Dependencias!$C$36:$C$52</c:f>
              <c:numCache>
                <c:formatCode>0%</c:formatCode>
                <c:ptCount val="17"/>
                <c:pt idx="0">
                  <c:v>4.046242774566474E-2</c:v>
                </c:pt>
                <c:pt idx="1">
                  <c:v>5.2023121387283239E-2</c:v>
                </c:pt>
                <c:pt idx="2">
                  <c:v>4.046242774566474E-2</c:v>
                </c:pt>
                <c:pt idx="3">
                  <c:v>5.2023121387283239E-2</c:v>
                </c:pt>
                <c:pt idx="4">
                  <c:v>0.10982658959537572</c:v>
                </c:pt>
                <c:pt idx="5">
                  <c:v>3.4682080924855488E-2</c:v>
                </c:pt>
                <c:pt idx="6">
                  <c:v>5.7803468208092483E-3</c:v>
                </c:pt>
                <c:pt idx="7">
                  <c:v>5.7803468208092483E-3</c:v>
                </c:pt>
                <c:pt idx="8">
                  <c:v>6.358381502890173E-2</c:v>
                </c:pt>
                <c:pt idx="9">
                  <c:v>2.3121387283236993E-2</c:v>
                </c:pt>
                <c:pt idx="10">
                  <c:v>5.7803468208092483E-3</c:v>
                </c:pt>
                <c:pt idx="11">
                  <c:v>0.12138728323699421</c:v>
                </c:pt>
                <c:pt idx="12">
                  <c:v>9.8265895953757232E-2</c:v>
                </c:pt>
                <c:pt idx="13">
                  <c:v>1.7341040462427744E-2</c:v>
                </c:pt>
                <c:pt idx="14">
                  <c:v>0.24277456647398843</c:v>
                </c:pt>
                <c:pt idx="15">
                  <c:v>6.9364161849710976E-2</c:v>
                </c:pt>
                <c:pt idx="16">
                  <c:v>1.7341040462427744E-2</c:v>
                </c:pt>
              </c:numCache>
            </c:numRef>
          </c:val>
          <c:extLst>
            <c:ext xmlns:c16="http://schemas.microsoft.com/office/drawing/2014/chart" uri="{C3380CC4-5D6E-409C-BE32-E72D297353CC}">
              <c16:uniqueId val="{0000000E-4809-4179-8AC1-97F6479FB3B3}"/>
            </c:ext>
          </c:extLst>
        </c:ser>
        <c:dLbls>
          <c:showLegendKey val="0"/>
          <c:showVal val="0"/>
          <c:showCatName val="0"/>
          <c:showSerName val="0"/>
          <c:showPercent val="0"/>
          <c:showBubbleSize val="0"/>
        </c:dLbls>
        <c:gapWidth val="150"/>
        <c:axId val="50293280"/>
        <c:axId val="1"/>
      </c:barChart>
      <c:catAx>
        <c:axId val="50293280"/>
        <c:scaling>
          <c:orientation val="minMax"/>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b"/>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0293280"/>
        <c:crosses val="autoZero"/>
        <c:crossBetween val="between"/>
      </c:valAx>
    </c:plotArea>
    <c:plotVisOnly val="1"/>
    <c:dispBlanksAs val="gap"/>
    <c:showDLblsOverMax val="0"/>
  </c:chart>
  <c:spPr>
    <a:scene3d>
      <a:camera prst="orthographicFront"/>
      <a:lightRig rig="threePt" dir="t"/>
    </a:scene3d>
    <a:sp3d>
      <a:bevelT/>
    </a:sp3d>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2.5000000000000001E-2"/>
          <c:y val="3.7037037037037035E-2"/>
          <c:w val="0.77975131233595796"/>
          <c:h val="0.89814814814814814"/>
        </c:manualLayout>
      </c:layout>
      <c:pie3DChart>
        <c:varyColors val="1"/>
        <c:ser>
          <c:idx val="0"/>
          <c:order val="0"/>
          <c:spPr>
            <a:ln>
              <a:solidFill>
                <a:sysClr val="windowText" lastClr="000000"/>
              </a:solidFill>
            </a:ln>
          </c:spPr>
          <c:dPt>
            <c:idx val="0"/>
            <c:bubble3D val="0"/>
            <c:spPr>
              <a:solidFill>
                <a:srgbClr val="92D050"/>
              </a:solidFill>
              <a:ln>
                <a:solidFill>
                  <a:sysClr val="windowText" lastClr="000000"/>
                </a:solidFill>
              </a:ln>
            </c:spPr>
            <c:extLst>
              <c:ext xmlns:c16="http://schemas.microsoft.com/office/drawing/2014/chart" uri="{C3380CC4-5D6E-409C-BE32-E72D297353CC}">
                <c16:uniqueId val="{00000000-E524-4527-AAC0-AA16AA583363}"/>
              </c:ext>
            </c:extLst>
          </c:dPt>
          <c:dPt>
            <c:idx val="1"/>
            <c:bubble3D val="0"/>
            <c:spPr>
              <a:solidFill>
                <a:srgbClr val="FFC000"/>
              </a:solidFill>
              <a:ln>
                <a:solidFill>
                  <a:sysClr val="windowText" lastClr="000000"/>
                </a:solidFill>
              </a:ln>
            </c:spPr>
            <c:extLst>
              <c:ext xmlns:c16="http://schemas.microsoft.com/office/drawing/2014/chart" uri="{C3380CC4-5D6E-409C-BE32-E72D297353CC}">
                <c16:uniqueId val="{00000001-E524-4527-AAC0-AA16AA583363}"/>
              </c:ext>
            </c:extLst>
          </c:dPt>
          <c:dPt>
            <c:idx val="2"/>
            <c:bubble3D val="0"/>
            <c:spPr>
              <a:solidFill>
                <a:srgbClr val="FFFF00"/>
              </a:solidFill>
              <a:ln>
                <a:solidFill>
                  <a:sysClr val="windowText" lastClr="000000"/>
                </a:solidFill>
              </a:ln>
            </c:spPr>
            <c:extLst>
              <c:ext xmlns:c16="http://schemas.microsoft.com/office/drawing/2014/chart" uri="{C3380CC4-5D6E-409C-BE32-E72D297353CC}">
                <c16:uniqueId val="{00000002-E524-4527-AAC0-AA16AA583363}"/>
              </c:ext>
            </c:extLst>
          </c:dPt>
          <c:dLbls>
            <c:spPr>
              <a:noFill/>
              <a:ln w="25400">
                <a:noFill/>
              </a:ln>
            </c:spPr>
            <c:txPr>
              <a:bodyPr wrap="square" lIns="38100" tIns="19050" rIns="38100" bIns="19050" anchor="ctr">
                <a:spAutoFit/>
              </a:bodyPr>
              <a:lstStyle/>
              <a:p>
                <a:pPr>
                  <a:defRPr sz="105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'Not Entidades'!$A$55:$C$55</c:f>
              <c:strCache>
                <c:ptCount val="3"/>
                <c:pt idx="0">
                  <c:v>Enero </c:v>
                </c:pt>
                <c:pt idx="1">
                  <c:v>Febrero </c:v>
                </c:pt>
                <c:pt idx="2">
                  <c:v>Marzo </c:v>
                </c:pt>
              </c:strCache>
            </c:strRef>
          </c:cat>
          <c:val>
            <c:numRef>
              <c:f>'Not Entidades'!$A$57:$C$57</c:f>
              <c:numCache>
                <c:formatCode>0%</c:formatCode>
                <c:ptCount val="3"/>
                <c:pt idx="0">
                  <c:v>0.76470588235294112</c:v>
                </c:pt>
                <c:pt idx="1">
                  <c:v>0.92105263157894735</c:v>
                </c:pt>
                <c:pt idx="2">
                  <c:v>0.82352941176470584</c:v>
                </c:pt>
              </c:numCache>
            </c:numRef>
          </c:val>
          <c:extLst>
            <c:ext xmlns:c16="http://schemas.microsoft.com/office/drawing/2014/chart" uri="{C3380CC4-5D6E-409C-BE32-E72D297353CC}">
              <c16:uniqueId val="{00000003-E524-4527-AAC0-AA16AA583363}"/>
            </c:ext>
          </c:extLst>
        </c:ser>
        <c:dLbls>
          <c:showLegendKey val="0"/>
          <c:showVal val="0"/>
          <c:showCatName val="0"/>
          <c:showSerName val="0"/>
          <c:showPercent val="0"/>
          <c:showBubbleSize val="0"/>
          <c:showLeaderLines val="1"/>
        </c:dLbls>
      </c:pie3DChart>
      <c:spPr>
        <a:ln>
          <a:solidFill>
            <a:schemeClr val="tx1"/>
          </a:solidFill>
        </a:ln>
      </c:spPr>
    </c:plotArea>
    <c:legend>
      <c:legendPos val="r"/>
      <c:layout>
        <c:manualLayout>
          <c:xMode val="edge"/>
          <c:yMode val="edge"/>
          <c:wMode val="edge"/>
          <c:hMode val="edge"/>
          <c:x val="0.86390182902529855"/>
          <c:y val="0.41906128400616588"/>
          <c:w val="0.97647084690329944"/>
          <c:h val="0.58414598175228094"/>
        </c:manualLayout>
      </c:layout>
      <c:overlay val="0"/>
      <c:txPr>
        <a:bodyPr/>
        <a:lstStyle/>
        <a:p>
          <a:pPr>
            <a:defRPr sz="460" b="0" i="0" u="none" strike="noStrike" baseline="0">
              <a:solidFill>
                <a:srgbClr val="000000"/>
              </a:solidFill>
              <a:latin typeface="Calibri"/>
              <a:ea typeface="Calibri"/>
              <a:cs typeface="Calibri"/>
            </a:defRPr>
          </a:pPr>
          <a:endParaRPr lang="en-US"/>
        </a:p>
      </c:txPr>
    </c:legend>
    <c:plotVisOnly val="1"/>
    <c:dispBlanksAs val="zero"/>
    <c:showDLblsOverMax val="0"/>
  </c:chart>
  <c:spPr>
    <a:scene3d>
      <a:camera prst="orthographicFront"/>
      <a:lightRig rig="threePt" dir="t"/>
    </a:scene3d>
    <a:sp3d>
      <a:bevelT/>
    </a:sp3d>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chart" Target="../charts/chart24.xml"/><Relationship Id="rId5" Type="http://schemas.openxmlformats.org/officeDocument/2006/relationships/chart" Target="../charts/chart23.xml"/><Relationship Id="rId4" Type="http://schemas.openxmlformats.org/officeDocument/2006/relationships/chart" Target="../charts/chart22.xml"/></Relationships>
</file>

<file path=xl/drawings/_rels/drawing1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218636</xdr:colOff>
      <xdr:row>1</xdr:row>
      <xdr:rowOff>144633</xdr:rowOff>
    </xdr:from>
    <xdr:to>
      <xdr:col>2</xdr:col>
      <xdr:colOff>664671</xdr:colOff>
      <xdr:row>4</xdr:row>
      <xdr:rowOff>203160</xdr:rowOff>
    </xdr:to>
    <xdr:pic>
      <xdr:nvPicPr>
        <xdr:cNvPr id="2" name="5 Imagen">
          <a:extLst>
            <a:ext uri="{FF2B5EF4-FFF2-40B4-BE49-F238E27FC236}">
              <a16:creationId xmlns:a16="http://schemas.microsoft.com/office/drawing/2014/main" id="{042D53D5-93FB-6C5E-84C4-A532A7BCC96D}"/>
            </a:ext>
          </a:extLst>
        </xdr:cNvPr>
        <xdr:cNvPicPr/>
      </xdr:nvPicPr>
      <xdr:blipFill>
        <a:blip xmlns:r="http://schemas.openxmlformats.org/officeDocument/2006/relationships" r:embed="rId1"/>
        <a:srcRect l="13578" t="18731" r="65886" b="66163"/>
        <a:stretch>
          <a:fillRect/>
        </a:stretch>
      </xdr:blipFill>
      <xdr:spPr bwMode="auto">
        <a:xfrm>
          <a:off x="418368" y="315057"/>
          <a:ext cx="1238888" cy="540280"/>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142875</xdr:colOff>
      <xdr:row>9</xdr:row>
      <xdr:rowOff>190500</xdr:rowOff>
    </xdr:from>
    <xdr:to>
      <xdr:col>12</xdr:col>
      <xdr:colOff>0</xdr:colOff>
      <xdr:row>23</xdr:row>
      <xdr:rowOff>190500</xdr:rowOff>
    </xdr:to>
    <xdr:graphicFrame macro="">
      <xdr:nvGraphicFramePr>
        <xdr:cNvPr id="10535" name="5 Gráfico">
          <a:extLst>
            <a:ext uri="{FF2B5EF4-FFF2-40B4-BE49-F238E27FC236}">
              <a16:creationId xmlns:a16="http://schemas.microsoft.com/office/drawing/2014/main" id="{73688AAD-6695-3860-E120-F419A3115D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142875</xdr:colOff>
      <xdr:row>28</xdr:row>
      <xdr:rowOff>190500</xdr:rowOff>
    </xdr:from>
    <xdr:to>
      <xdr:col>12</xdr:col>
      <xdr:colOff>0</xdr:colOff>
      <xdr:row>42</xdr:row>
      <xdr:rowOff>190500</xdr:rowOff>
    </xdr:to>
    <xdr:graphicFrame macro="">
      <xdr:nvGraphicFramePr>
        <xdr:cNvPr id="10536" name="5 Gráfico">
          <a:extLst>
            <a:ext uri="{FF2B5EF4-FFF2-40B4-BE49-F238E27FC236}">
              <a16:creationId xmlns:a16="http://schemas.microsoft.com/office/drawing/2014/main" id="{4D79AA5E-15F9-EB19-CB33-59C8908B19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3</xdr:col>
      <xdr:colOff>314325</xdr:colOff>
      <xdr:row>0</xdr:row>
      <xdr:rowOff>123825</xdr:rowOff>
    </xdr:from>
    <xdr:to>
      <xdr:col>8</xdr:col>
      <xdr:colOff>0</xdr:colOff>
      <xdr:row>4</xdr:row>
      <xdr:rowOff>638175</xdr:rowOff>
    </xdr:to>
    <xdr:graphicFrame macro="">
      <xdr:nvGraphicFramePr>
        <xdr:cNvPr id="11691" name="1 Gráfico">
          <a:extLst>
            <a:ext uri="{FF2B5EF4-FFF2-40B4-BE49-F238E27FC236}">
              <a16:creationId xmlns:a16="http://schemas.microsoft.com/office/drawing/2014/main" id="{CA0C0490-BA52-7018-5EC7-95BAF2F74A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276225</xdr:colOff>
      <xdr:row>5</xdr:row>
      <xdr:rowOff>638175</xdr:rowOff>
    </xdr:from>
    <xdr:to>
      <xdr:col>7</xdr:col>
      <xdr:colOff>609600</xdr:colOff>
      <xdr:row>15</xdr:row>
      <xdr:rowOff>28575</xdr:rowOff>
    </xdr:to>
    <xdr:graphicFrame macro="">
      <xdr:nvGraphicFramePr>
        <xdr:cNvPr id="11692" name="2 Gráfico">
          <a:extLst>
            <a:ext uri="{FF2B5EF4-FFF2-40B4-BE49-F238E27FC236}">
              <a16:creationId xmlns:a16="http://schemas.microsoft.com/office/drawing/2014/main" id="{E12A8E83-EB4E-2AF8-A40C-6631518CA2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238125</xdr:colOff>
      <xdr:row>16</xdr:row>
      <xdr:rowOff>161925</xdr:rowOff>
    </xdr:from>
    <xdr:to>
      <xdr:col>7</xdr:col>
      <xdr:colOff>485775</xdr:colOff>
      <xdr:row>20</xdr:row>
      <xdr:rowOff>438150</xdr:rowOff>
    </xdr:to>
    <xdr:graphicFrame macro="">
      <xdr:nvGraphicFramePr>
        <xdr:cNvPr id="11693" name="3 Gráfico">
          <a:extLst>
            <a:ext uri="{FF2B5EF4-FFF2-40B4-BE49-F238E27FC236}">
              <a16:creationId xmlns:a16="http://schemas.microsoft.com/office/drawing/2014/main" id="{AB43A401-1138-B63D-CC71-DD1F7F51C1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247650</xdr:colOff>
      <xdr:row>1</xdr:row>
      <xdr:rowOff>361950</xdr:rowOff>
    </xdr:from>
    <xdr:to>
      <xdr:col>18</xdr:col>
      <xdr:colOff>247650</xdr:colOff>
      <xdr:row>14</xdr:row>
      <xdr:rowOff>285750</xdr:rowOff>
    </xdr:to>
    <xdr:graphicFrame macro="">
      <xdr:nvGraphicFramePr>
        <xdr:cNvPr id="11694" name="4 Gráfico">
          <a:extLst>
            <a:ext uri="{FF2B5EF4-FFF2-40B4-BE49-F238E27FC236}">
              <a16:creationId xmlns:a16="http://schemas.microsoft.com/office/drawing/2014/main" id="{D262C4F7-105E-8644-EFD7-D7797D6FB1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209550</xdr:colOff>
      <xdr:row>22</xdr:row>
      <xdr:rowOff>133350</xdr:rowOff>
    </xdr:from>
    <xdr:to>
      <xdr:col>7</xdr:col>
      <xdr:colOff>514350</xdr:colOff>
      <xdr:row>33</xdr:row>
      <xdr:rowOff>0</xdr:rowOff>
    </xdr:to>
    <xdr:graphicFrame macro="">
      <xdr:nvGraphicFramePr>
        <xdr:cNvPr id="11695" name="5 Gráfico">
          <a:extLst>
            <a:ext uri="{FF2B5EF4-FFF2-40B4-BE49-F238E27FC236}">
              <a16:creationId xmlns:a16="http://schemas.microsoft.com/office/drawing/2014/main" id="{28F74876-92C1-0CEC-E925-A9C2A77AF0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323850</xdr:colOff>
      <xdr:row>35</xdr:row>
      <xdr:rowOff>19050</xdr:rowOff>
    </xdr:from>
    <xdr:to>
      <xdr:col>8</xdr:col>
      <xdr:colOff>752475</xdr:colOff>
      <xdr:row>49</xdr:row>
      <xdr:rowOff>9525</xdr:rowOff>
    </xdr:to>
    <xdr:graphicFrame macro="">
      <xdr:nvGraphicFramePr>
        <xdr:cNvPr id="11696" name="6 Gráfico">
          <a:extLst>
            <a:ext uri="{FF2B5EF4-FFF2-40B4-BE49-F238E27FC236}">
              <a16:creationId xmlns:a16="http://schemas.microsoft.com/office/drawing/2014/main" id="{4D3C6B95-3BBC-C6E4-4671-92EED69460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3</xdr:col>
      <xdr:colOff>523875</xdr:colOff>
      <xdr:row>48</xdr:row>
      <xdr:rowOff>47625</xdr:rowOff>
    </xdr:from>
    <xdr:to>
      <xdr:col>8</xdr:col>
      <xdr:colOff>581025</xdr:colOff>
      <xdr:row>62</xdr:row>
      <xdr:rowOff>57150</xdr:rowOff>
    </xdr:to>
    <xdr:graphicFrame macro="">
      <xdr:nvGraphicFramePr>
        <xdr:cNvPr id="12573" name="1 Gráfico">
          <a:extLst>
            <a:ext uri="{FF2B5EF4-FFF2-40B4-BE49-F238E27FC236}">
              <a16:creationId xmlns:a16="http://schemas.microsoft.com/office/drawing/2014/main" id="{154327B9-BE0C-5087-3CB0-1638DB5F9E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457200</xdr:colOff>
      <xdr:row>63</xdr:row>
      <xdr:rowOff>152400</xdr:rowOff>
    </xdr:from>
    <xdr:to>
      <xdr:col>8</xdr:col>
      <xdr:colOff>552450</xdr:colOff>
      <xdr:row>76</xdr:row>
      <xdr:rowOff>152400</xdr:rowOff>
    </xdr:to>
    <xdr:graphicFrame macro="">
      <xdr:nvGraphicFramePr>
        <xdr:cNvPr id="12574" name="2 Gráfico">
          <a:extLst>
            <a:ext uri="{FF2B5EF4-FFF2-40B4-BE49-F238E27FC236}">
              <a16:creationId xmlns:a16="http://schemas.microsoft.com/office/drawing/2014/main" id="{FA8E8EAD-4D52-FD33-0EF8-EAA255637D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219075</xdr:colOff>
      <xdr:row>55</xdr:row>
      <xdr:rowOff>114300</xdr:rowOff>
    </xdr:from>
    <xdr:to>
      <xdr:col>17</xdr:col>
      <xdr:colOff>704850</xdr:colOff>
      <xdr:row>64</xdr:row>
      <xdr:rowOff>0</xdr:rowOff>
    </xdr:to>
    <xdr:graphicFrame macro="">
      <xdr:nvGraphicFramePr>
        <xdr:cNvPr id="12575" name="3 Gráfico">
          <a:extLst>
            <a:ext uri="{FF2B5EF4-FFF2-40B4-BE49-F238E27FC236}">
              <a16:creationId xmlns:a16="http://schemas.microsoft.com/office/drawing/2014/main" id="{6BCF881B-819F-FEB9-B924-FEFFF67290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371475</xdr:colOff>
      <xdr:row>80</xdr:row>
      <xdr:rowOff>152400</xdr:rowOff>
    </xdr:from>
    <xdr:to>
      <xdr:col>9</xdr:col>
      <xdr:colOff>600075</xdr:colOff>
      <xdr:row>91</xdr:row>
      <xdr:rowOff>304800</xdr:rowOff>
    </xdr:to>
    <xdr:graphicFrame macro="">
      <xdr:nvGraphicFramePr>
        <xdr:cNvPr id="12576" name="4 Gráfico">
          <a:extLst>
            <a:ext uri="{FF2B5EF4-FFF2-40B4-BE49-F238E27FC236}">
              <a16:creationId xmlns:a16="http://schemas.microsoft.com/office/drawing/2014/main" id="{0D4EA172-1A87-913C-644C-84639DF005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3</xdr:col>
      <xdr:colOff>180975</xdr:colOff>
      <xdr:row>0</xdr:row>
      <xdr:rowOff>66675</xdr:rowOff>
    </xdr:from>
    <xdr:to>
      <xdr:col>9</xdr:col>
      <xdr:colOff>180975</xdr:colOff>
      <xdr:row>12</xdr:row>
      <xdr:rowOff>152400</xdr:rowOff>
    </xdr:to>
    <xdr:graphicFrame macro="">
      <xdr:nvGraphicFramePr>
        <xdr:cNvPr id="13526" name="1 Gráfico">
          <a:extLst>
            <a:ext uri="{FF2B5EF4-FFF2-40B4-BE49-F238E27FC236}">
              <a16:creationId xmlns:a16="http://schemas.microsoft.com/office/drawing/2014/main" id="{0DFE3528-2885-FB5A-D6F4-27C96CC8DF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666750</xdr:colOff>
      <xdr:row>16</xdr:row>
      <xdr:rowOff>9525</xdr:rowOff>
    </xdr:from>
    <xdr:to>
      <xdr:col>12</xdr:col>
      <xdr:colOff>133350</xdr:colOff>
      <xdr:row>27</xdr:row>
      <xdr:rowOff>161925</xdr:rowOff>
    </xdr:to>
    <xdr:graphicFrame macro="">
      <xdr:nvGraphicFramePr>
        <xdr:cNvPr id="13527" name="2 Gráfico">
          <a:extLst>
            <a:ext uri="{FF2B5EF4-FFF2-40B4-BE49-F238E27FC236}">
              <a16:creationId xmlns:a16="http://schemas.microsoft.com/office/drawing/2014/main" id="{6AB82626-22D3-56AA-1D50-3DB02E1EBC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419100</xdr:colOff>
      <xdr:row>28</xdr:row>
      <xdr:rowOff>304800</xdr:rowOff>
    </xdr:from>
    <xdr:to>
      <xdr:col>13</xdr:col>
      <xdr:colOff>419100</xdr:colOff>
      <xdr:row>35</xdr:row>
      <xdr:rowOff>295275</xdr:rowOff>
    </xdr:to>
    <xdr:graphicFrame macro="">
      <xdr:nvGraphicFramePr>
        <xdr:cNvPr id="13528" name="3 Gráfico">
          <a:extLst>
            <a:ext uri="{FF2B5EF4-FFF2-40B4-BE49-F238E27FC236}">
              <a16:creationId xmlns:a16="http://schemas.microsoft.com/office/drawing/2014/main" id="{F209A5C1-7102-F814-D955-76574003B6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4</xdr:col>
      <xdr:colOff>457200</xdr:colOff>
      <xdr:row>77</xdr:row>
      <xdr:rowOff>152400</xdr:rowOff>
    </xdr:from>
    <xdr:to>
      <xdr:col>9</xdr:col>
      <xdr:colOff>438150</xdr:colOff>
      <xdr:row>86</xdr:row>
      <xdr:rowOff>133350</xdr:rowOff>
    </xdr:to>
    <xdr:graphicFrame macro="">
      <xdr:nvGraphicFramePr>
        <xdr:cNvPr id="14550" name="1 Gráfico">
          <a:extLst>
            <a:ext uri="{FF2B5EF4-FFF2-40B4-BE49-F238E27FC236}">
              <a16:creationId xmlns:a16="http://schemas.microsoft.com/office/drawing/2014/main" id="{2582173A-F485-15FC-DDBA-0F352AA80E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152400</xdr:colOff>
      <xdr:row>77</xdr:row>
      <xdr:rowOff>152400</xdr:rowOff>
    </xdr:from>
    <xdr:to>
      <xdr:col>18</xdr:col>
      <xdr:colOff>180975</xdr:colOff>
      <xdr:row>86</xdr:row>
      <xdr:rowOff>152400</xdr:rowOff>
    </xdr:to>
    <xdr:graphicFrame macro="">
      <xdr:nvGraphicFramePr>
        <xdr:cNvPr id="14551" name="3 Gráfico">
          <a:extLst>
            <a:ext uri="{FF2B5EF4-FFF2-40B4-BE49-F238E27FC236}">
              <a16:creationId xmlns:a16="http://schemas.microsoft.com/office/drawing/2014/main" id="{EE4B9193-914D-F2E0-F8F5-2C55655124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304800</xdr:colOff>
      <xdr:row>89</xdr:row>
      <xdr:rowOff>0</xdr:rowOff>
    </xdr:from>
    <xdr:to>
      <xdr:col>9</xdr:col>
      <xdr:colOff>723900</xdr:colOff>
      <xdr:row>97</xdr:row>
      <xdr:rowOff>152400</xdr:rowOff>
    </xdr:to>
    <xdr:graphicFrame macro="">
      <xdr:nvGraphicFramePr>
        <xdr:cNvPr id="14552" name="4 Gráfico">
          <a:extLst>
            <a:ext uri="{FF2B5EF4-FFF2-40B4-BE49-F238E27FC236}">
              <a16:creationId xmlns:a16="http://schemas.microsoft.com/office/drawing/2014/main" id="{CD22670A-9905-1C8B-4C29-F33587E9C8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6</xdr:col>
      <xdr:colOff>323850</xdr:colOff>
      <xdr:row>1</xdr:row>
      <xdr:rowOff>28575</xdr:rowOff>
    </xdr:from>
    <xdr:to>
      <xdr:col>11</xdr:col>
      <xdr:colOff>247650</xdr:colOff>
      <xdr:row>4</xdr:row>
      <xdr:rowOff>9525</xdr:rowOff>
    </xdr:to>
    <xdr:graphicFrame macro="">
      <xdr:nvGraphicFramePr>
        <xdr:cNvPr id="15787" name="1 Gráfico">
          <a:extLst>
            <a:ext uri="{FF2B5EF4-FFF2-40B4-BE49-F238E27FC236}">
              <a16:creationId xmlns:a16="http://schemas.microsoft.com/office/drawing/2014/main" id="{201B994C-F6B0-3749-91B4-EB3FB5D8BB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342900</xdr:colOff>
      <xdr:row>5</xdr:row>
      <xdr:rowOff>142875</xdr:rowOff>
    </xdr:from>
    <xdr:to>
      <xdr:col>11</xdr:col>
      <xdr:colOff>266700</xdr:colOff>
      <xdr:row>10</xdr:row>
      <xdr:rowOff>19050</xdr:rowOff>
    </xdr:to>
    <xdr:graphicFrame macro="">
      <xdr:nvGraphicFramePr>
        <xdr:cNvPr id="15788" name="1 Gráfico">
          <a:extLst>
            <a:ext uri="{FF2B5EF4-FFF2-40B4-BE49-F238E27FC236}">
              <a16:creationId xmlns:a16="http://schemas.microsoft.com/office/drawing/2014/main" id="{B9379597-D2E5-BA7F-B82E-7A699D4375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371475</xdr:colOff>
      <xdr:row>11</xdr:row>
      <xdr:rowOff>0</xdr:rowOff>
    </xdr:from>
    <xdr:to>
      <xdr:col>11</xdr:col>
      <xdr:colOff>295275</xdr:colOff>
      <xdr:row>15</xdr:row>
      <xdr:rowOff>9525</xdr:rowOff>
    </xdr:to>
    <xdr:graphicFrame macro="">
      <xdr:nvGraphicFramePr>
        <xdr:cNvPr id="15789" name="1 Gráfico">
          <a:extLst>
            <a:ext uri="{FF2B5EF4-FFF2-40B4-BE49-F238E27FC236}">
              <a16:creationId xmlns:a16="http://schemas.microsoft.com/office/drawing/2014/main" id="{C597DF51-47BD-2CB2-56B6-79D028B14B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704850</xdr:colOff>
      <xdr:row>1</xdr:row>
      <xdr:rowOff>0</xdr:rowOff>
    </xdr:from>
    <xdr:to>
      <xdr:col>14</xdr:col>
      <xdr:colOff>723900</xdr:colOff>
      <xdr:row>3</xdr:row>
      <xdr:rowOff>581025</xdr:rowOff>
    </xdr:to>
    <xdr:graphicFrame macro="">
      <xdr:nvGraphicFramePr>
        <xdr:cNvPr id="15790" name="4 Gráfico">
          <a:extLst>
            <a:ext uri="{FF2B5EF4-FFF2-40B4-BE49-F238E27FC236}">
              <a16:creationId xmlns:a16="http://schemas.microsoft.com/office/drawing/2014/main" id="{F458CC05-354C-CCBF-5062-9CD6876107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733425</xdr:colOff>
      <xdr:row>5</xdr:row>
      <xdr:rowOff>104775</xdr:rowOff>
    </xdr:from>
    <xdr:to>
      <xdr:col>15</xdr:col>
      <xdr:colOff>9525</xdr:colOff>
      <xdr:row>10</xdr:row>
      <xdr:rowOff>0</xdr:rowOff>
    </xdr:to>
    <xdr:graphicFrame macro="">
      <xdr:nvGraphicFramePr>
        <xdr:cNvPr id="15791" name="5 Gráfico">
          <a:extLst>
            <a:ext uri="{FF2B5EF4-FFF2-40B4-BE49-F238E27FC236}">
              <a16:creationId xmlns:a16="http://schemas.microsoft.com/office/drawing/2014/main" id="{983968E3-0B6C-2CDF-0413-2B91CD9CB7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9525</xdr:colOff>
      <xdr:row>11</xdr:row>
      <xdr:rowOff>19050</xdr:rowOff>
    </xdr:from>
    <xdr:to>
      <xdr:col>14</xdr:col>
      <xdr:colOff>762000</xdr:colOff>
      <xdr:row>15</xdr:row>
      <xdr:rowOff>161925</xdr:rowOff>
    </xdr:to>
    <xdr:graphicFrame macro="">
      <xdr:nvGraphicFramePr>
        <xdr:cNvPr id="15792" name="5 Gráfico">
          <a:extLst>
            <a:ext uri="{FF2B5EF4-FFF2-40B4-BE49-F238E27FC236}">
              <a16:creationId xmlns:a16="http://schemas.microsoft.com/office/drawing/2014/main" id="{D93805D0-F95A-226C-6948-34D1080360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38100</xdr:colOff>
      <xdr:row>0</xdr:row>
      <xdr:rowOff>0</xdr:rowOff>
    </xdr:from>
    <xdr:to>
      <xdr:col>1</xdr:col>
      <xdr:colOff>428625</xdr:colOff>
      <xdr:row>3</xdr:row>
      <xdr:rowOff>123825</xdr:rowOff>
    </xdr:to>
    <xdr:pic>
      <xdr:nvPicPr>
        <xdr:cNvPr id="4248708" name="Imagen 40" descr="Logo SNR menos resolucion">
          <a:extLst>
            <a:ext uri="{FF2B5EF4-FFF2-40B4-BE49-F238E27FC236}">
              <a16:creationId xmlns:a16="http://schemas.microsoft.com/office/drawing/2014/main" id="{FAA598F4-EC2D-B198-D420-DA9D0D0A43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18478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57150</xdr:colOff>
      <xdr:row>0</xdr:row>
      <xdr:rowOff>47625</xdr:rowOff>
    </xdr:from>
    <xdr:to>
      <xdr:col>1</xdr:col>
      <xdr:colOff>371475</xdr:colOff>
      <xdr:row>3</xdr:row>
      <xdr:rowOff>76200</xdr:rowOff>
    </xdr:to>
    <xdr:pic>
      <xdr:nvPicPr>
        <xdr:cNvPr id="5755008" name="Imagen 40" descr="Logo SNR menos resolucion">
          <a:extLst>
            <a:ext uri="{FF2B5EF4-FFF2-40B4-BE49-F238E27FC236}">
              <a16:creationId xmlns:a16="http://schemas.microsoft.com/office/drawing/2014/main" id="{AC758110-35AC-3441-0BE7-B773548266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17716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76200</xdr:colOff>
      <xdr:row>0</xdr:row>
      <xdr:rowOff>57150</xdr:rowOff>
    </xdr:from>
    <xdr:to>
      <xdr:col>1</xdr:col>
      <xdr:colOff>390525</xdr:colOff>
      <xdr:row>3</xdr:row>
      <xdr:rowOff>85725</xdr:rowOff>
    </xdr:to>
    <xdr:pic>
      <xdr:nvPicPr>
        <xdr:cNvPr id="5756140" name="Imagen 40" descr="Logo SNR menos resolucion">
          <a:extLst>
            <a:ext uri="{FF2B5EF4-FFF2-40B4-BE49-F238E27FC236}">
              <a16:creationId xmlns:a16="http://schemas.microsoft.com/office/drawing/2014/main" id="{74B93357-6ED6-2CDE-CBF7-3D7313C8AD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57150"/>
          <a:ext cx="17716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47625</xdr:rowOff>
    </xdr:from>
    <xdr:to>
      <xdr:col>1</xdr:col>
      <xdr:colOff>371475</xdr:colOff>
      <xdr:row>3</xdr:row>
      <xdr:rowOff>76200</xdr:rowOff>
    </xdr:to>
    <xdr:pic>
      <xdr:nvPicPr>
        <xdr:cNvPr id="5756141" name="Imagen 40" descr="Logo SNR menos resolucion">
          <a:extLst>
            <a:ext uri="{FF2B5EF4-FFF2-40B4-BE49-F238E27FC236}">
              <a16:creationId xmlns:a16="http://schemas.microsoft.com/office/drawing/2014/main" id="{1DC7D8EF-7B87-2F23-CCC9-D418A5A52B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17716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76200</xdr:colOff>
      <xdr:row>0</xdr:row>
      <xdr:rowOff>57150</xdr:rowOff>
    </xdr:from>
    <xdr:to>
      <xdr:col>1</xdr:col>
      <xdr:colOff>390525</xdr:colOff>
      <xdr:row>3</xdr:row>
      <xdr:rowOff>85725</xdr:rowOff>
    </xdr:to>
    <xdr:pic>
      <xdr:nvPicPr>
        <xdr:cNvPr id="6217899" name="Imagen 40" descr="Logo SNR menos resolucion">
          <a:extLst>
            <a:ext uri="{FF2B5EF4-FFF2-40B4-BE49-F238E27FC236}">
              <a16:creationId xmlns:a16="http://schemas.microsoft.com/office/drawing/2014/main" id="{B813C93C-80A3-45D2-24E6-BF2B1E6DD8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57150"/>
          <a:ext cx="17716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47625</xdr:rowOff>
    </xdr:from>
    <xdr:to>
      <xdr:col>1</xdr:col>
      <xdr:colOff>371475</xdr:colOff>
      <xdr:row>3</xdr:row>
      <xdr:rowOff>76200</xdr:rowOff>
    </xdr:to>
    <xdr:pic>
      <xdr:nvPicPr>
        <xdr:cNvPr id="6217900" name="Imagen 40" descr="Logo SNR menos resolucion">
          <a:extLst>
            <a:ext uri="{FF2B5EF4-FFF2-40B4-BE49-F238E27FC236}">
              <a16:creationId xmlns:a16="http://schemas.microsoft.com/office/drawing/2014/main" id="{D18A9181-B2A7-8B38-A3D6-65AE497983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17716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176873</xdr:colOff>
      <xdr:row>1</xdr:row>
      <xdr:rowOff>100965</xdr:rowOff>
    </xdr:from>
    <xdr:to>
      <xdr:col>2</xdr:col>
      <xdr:colOff>615207</xdr:colOff>
      <xdr:row>4</xdr:row>
      <xdr:rowOff>152217</xdr:rowOff>
    </xdr:to>
    <xdr:pic>
      <xdr:nvPicPr>
        <xdr:cNvPr id="2" name="5 Imagen">
          <a:extLst>
            <a:ext uri="{FF2B5EF4-FFF2-40B4-BE49-F238E27FC236}">
              <a16:creationId xmlns:a16="http://schemas.microsoft.com/office/drawing/2014/main" id="{B4F771EC-6A7C-7A31-335A-15EB19630910}"/>
            </a:ext>
          </a:extLst>
        </xdr:cNvPr>
        <xdr:cNvPicPr/>
      </xdr:nvPicPr>
      <xdr:blipFill>
        <a:blip xmlns:r="http://schemas.openxmlformats.org/officeDocument/2006/relationships" r:embed="rId1"/>
        <a:srcRect l="13578" t="18731" r="65886" b="66163"/>
        <a:stretch>
          <a:fillRect/>
        </a:stretch>
      </xdr:blipFill>
      <xdr:spPr bwMode="auto">
        <a:xfrm>
          <a:off x="367080" y="263769"/>
          <a:ext cx="1238888" cy="540280"/>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2</xdr:col>
      <xdr:colOff>314325</xdr:colOff>
      <xdr:row>4</xdr:row>
      <xdr:rowOff>9525</xdr:rowOff>
    </xdr:from>
    <xdr:to>
      <xdr:col>8</xdr:col>
      <xdr:colOff>314325</xdr:colOff>
      <xdr:row>21</xdr:row>
      <xdr:rowOff>0</xdr:rowOff>
    </xdr:to>
    <xdr:graphicFrame macro="">
      <xdr:nvGraphicFramePr>
        <xdr:cNvPr id="6218824" name="3 Gráfico">
          <a:extLst>
            <a:ext uri="{FF2B5EF4-FFF2-40B4-BE49-F238E27FC236}">
              <a16:creationId xmlns:a16="http://schemas.microsoft.com/office/drawing/2014/main" id="{BB3C9228-F546-A1CF-DD84-0DDE36E501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176873</xdr:colOff>
      <xdr:row>1</xdr:row>
      <xdr:rowOff>100673</xdr:rowOff>
    </xdr:from>
    <xdr:to>
      <xdr:col>2</xdr:col>
      <xdr:colOff>615207</xdr:colOff>
      <xdr:row>4</xdr:row>
      <xdr:rowOff>159200</xdr:rowOff>
    </xdr:to>
    <xdr:pic>
      <xdr:nvPicPr>
        <xdr:cNvPr id="2" name="5 Imagen">
          <a:extLst>
            <a:ext uri="{FF2B5EF4-FFF2-40B4-BE49-F238E27FC236}">
              <a16:creationId xmlns:a16="http://schemas.microsoft.com/office/drawing/2014/main" id="{C1AA2948-153A-CA23-AF23-28959A9CE8E0}"/>
            </a:ext>
          </a:extLst>
        </xdr:cNvPr>
        <xdr:cNvPicPr/>
      </xdr:nvPicPr>
      <xdr:blipFill>
        <a:blip xmlns:r="http://schemas.openxmlformats.org/officeDocument/2006/relationships" r:embed="rId1"/>
        <a:srcRect l="13578" t="18731" r="65886" b="66163"/>
        <a:stretch>
          <a:fillRect/>
        </a:stretch>
      </xdr:blipFill>
      <xdr:spPr bwMode="auto">
        <a:xfrm>
          <a:off x="367080" y="271097"/>
          <a:ext cx="1238888" cy="540280"/>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749692</xdr:colOff>
      <xdr:row>14</xdr:row>
      <xdr:rowOff>0</xdr:rowOff>
    </xdr:from>
    <xdr:to>
      <xdr:col>4</xdr:col>
      <xdr:colOff>982888</xdr:colOff>
      <xdr:row>17</xdr:row>
      <xdr:rowOff>64291</xdr:rowOff>
    </xdr:to>
    <xdr:pic>
      <xdr:nvPicPr>
        <xdr:cNvPr id="2" name="5 Imagen">
          <a:extLst>
            <a:ext uri="{FF2B5EF4-FFF2-40B4-BE49-F238E27FC236}">
              <a16:creationId xmlns:a16="http://schemas.microsoft.com/office/drawing/2014/main" id="{393A5376-BDC5-C369-2600-F2CCBE731C16}"/>
            </a:ext>
          </a:extLst>
        </xdr:cNvPr>
        <xdr:cNvPicPr/>
      </xdr:nvPicPr>
      <xdr:blipFill>
        <a:blip xmlns:r="http://schemas.openxmlformats.org/officeDocument/2006/relationships" r:embed="rId1"/>
        <a:srcRect l="13578" t="18731" r="65886" b="66163"/>
        <a:stretch>
          <a:fillRect/>
        </a:stretch>
      </xdr:blipFill>
      <xdr:spPr bwMode="auto">
        <a:xfrm>
          <a:off x="2755657" y="63655575"/>
          <a:ext cx="1235225" cy="542478"/>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749692</xdr:colOff>
      <xdr:row>9</xdr:row>
      <xdr:rowOff>0</xdr:rowOff>
    </xdr:from>
    <xdr:to>
      <xdr:col>4</xdr:col>
      <xdr:colOff>982888</xdr:colOff>
      <xdr:row>12</xdr:row>
      <xdr:rowOff>64291</xdr:rowOff>
    </xdr:to>
    <xdr:pic>
      <xdr:nvPicPr>
        <xdr:cNvPr id="2" name="5 Imagen">
          <a:extLst>
            <a:ext uri="{FF2B5EF4-FFF2-40B4-BE49-F238E27FC236}">
              <a16:creationId xmlns:a16="http://schemas.microsoft.com/office/drawing/2014/main" id="{533A4609-3157-D3C7-AB4B-1B073FAC2522}"/>
            </a:ext>
          </a:extLst>
        </xdr:cNvPr>
        <xdr:cNvPicPr/>
      </xdr:nvPicPr>
      <xdr:blipFill>
        <a:blip xmlns:r="http://schemas.openxmlformats.org/officeDocument/2006/relationships" r:embed="rId1"/>
        <a:srcRect l="13578" t="18731" r="65886" b="66163"/>
        <a:stretch>
          <a:fillRect/>
        </a:stretch>
      </xdr:blipFill>
      <xdr:spPr bwMode="auto">
        <a:xfrm>
          <a:off x="2755657" y="63655575"/>
          <a:ext cx="1235225" cy="542478"/>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250142</xdr:colOff>
      <xdr:row>1</xdr:row>
      <xdr:rowOff>88216</xdr:rowOff>
    </xdr:from>
    <xdr:to>
      <xdr:col>2</xdr:col>
      <xdr:colOff>686495</xdr:colOff>
      <xdr:row>4</xdr:row>
      <xdr:rowOff>127819</xdr:rowOff>
    </xdr:to>
    <xdr:pic>
      <xdr:nvPicPr>
        <xdr:cNvPr id="2" name="5 Imagen">
          <a:extLst>
            <a:ext uri="{FF2B5EF4-FFF2-40B4-BE49-F238E27FC236}">
              <a16:creationId xmlns:a16="http://schemas.microsoft.com/office/drawing/2014/main" id="{6ACC89B4-B568-9080-37A0-576C6AD1FEC6}"/>
            </a:ext>
          </a:extLst>
        </xdr:cNvPr>
        <xdr:cNvPicPr/>
      </xdr:nvPicPr>
      <xdr:blipFill>
        <a:blip xmlns:r="http://schemas.openxmlformats.org/officeDocument/2006/relationships" r:embed="rId1"/>
        <a:srcRect l="13578" t="18731" r="65886" b="66163"/>
        <a:stretch>
          <a:fillRect/>
        </a:stretch>
      </xdr:blipFill>
      <xdr:spPr bwMode="auto">
        <a:xfrm>
          <a:off x="440349" y="249115"/>
          <a:ext cx="1238888" cy="540280"/>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206180</xdr:colOff>
      <xdr:row>1</xdr:row>
      <xdr:rowOff>100672</xdr:rowOff>
    </xdr:from>
    <xdr:to>
      <xdr:col>2</xdr:col>
      <xdr:colOff>652215</xdr:colOff>
      <xdr:row>4</xdr:row>
      <xdr:rowOff>159199</xdr:rowOff>
    </xdr:to>
    <xdr:pic>
      <xdr:nvPicPr>
        <xdr:cNvPr id="2" name="5 Imagen">
          <a:extLst>
            <a:ext uri="{FF2B5EF4-FFF2-40B4-BE49-F238E27FC236}">
              <a16:creationId xmlns:a16="http://schemas.microsoft.com/office/drawing/2014/main" id="{5D97160B-E202-9BB9-4173-522BB9060EC2}"/>
            </a:ext>
          </a:extLst>
        </xdr:cNvPr>
        <xdr:cNvPicPr/>
      </xdr:nvPicPr>
      <xdr:blipFill>
        <a:blip xmlns:r="http://schemas.openxmlformats.org/officeDocument/2006/relationships" r:embed="rId1"/>
        <a:srcRect l="13578" t="18731" r="65886" b="66163"/>
        <a:stretch>
          <a:fillRect/>
        </a:stretch>
      </xdr:blipFill>
      <xdr:spPr bwMode="auto">
        <a:xfrm>
          <a:off x="396387" y="271096"/>
          <a:ext cx="1238888" cy="540280"/>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176581</xdr:colOff>
      <xdr:row>1</xdr:row>
      <xdr:rowOff>130273</xdr:rowOff>
    </xdr:from>
    <xdr:to>
      <xdr:col>2</xdr:col>
      <xdr:colOff>620784</xdr:colOff>
      <xdr:row>4</xdr:row>
      <xdr:rowOff>171801</xdr:rowOff>
    </xdr:to>
    <xdr:pic>
      <xdr:nvPicPr>
        <xdr:cNvPr id="2" name="5 Imagen">
          <a:extLst>
            <a:ext uri="{FF2B5EF4-FFF2-40B4-BE49-F238E27FC236}">
              <a16:creationId xmlns:a16="http://schemas.microsoft.com/office/drawing/2014/main" id="{B7DB4F3F-4066-E6C1-DB58-A2BBF8C7F172}"/>
            </a:ext>
          </a:extLst>
        </xdr:cNvPr>
        <xdr:cNvPicPr/>
      </xdr:nvPicPr>
      <xdr:blipFill>
        <a:blip xmlns:r="http://schemas.openxmlformats.org/officeDocument/2006/relationships" r:embed="rId1"/>
        <a:srcRect l="13578" t="18731" r="65886" b="66163"/>
        <a:stretch>
          <a:fillRect/>
        </a:stretch>
      </xdr:blipFill>
      <xdr:spPr bwMode="auto">
        <a:xfrm>
          <a:off x="374408" y="293077"/>
          <a:ext cx="1238888" cy="540280"/>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176873</xdr:colOff>
      <xdr:row>1</xdr:row>
      <xdr:rowOff>124851</xdr:rowOff>
    </xdr:from>
    <xdr:to>
      <xdr:col>2</xdr:col>
      <xdr:colOff>615207</xdr:colOff>
      <xdr:row>4</xdr:row>
      <xdr:rowOff>164621</xdr:rowOff>
    </xdr:to>
    <xdr:pic>
      <xdr:nvPicPr>
        <xdr:cNvPr id="2" name="5 Imagen">
          <a:extLst>
            <a:ext uri="{FF2B5EF4-FFF2-40B4-BE49-F238E27FC236}">
              <a16:creationId xmlns:a16="http://schemas.microsoft.com/office/drawing/2014/main" id="{7EB757DD-7BF4-454E-B915-46DEDC754FC7}"/>
            </a:ext>
          </a:extLst>
        </xdr:cNvPr>
        <xdr:cNvPicPr/>
      </xdr:nvPicPr>
      <xdr:blipFill>
        <a:blip xmlns:r="http://schemas.openxmlformats.org/officeDocument/2006/relationships" r:embed="rId1"/>
        <a:srcRect l="13578" t="18731" r="65886" b="66163"/>
        <a:stretch>
          <a:fillRect/>
        </a:stretch>
      </xdr:blipFill>
      <xdr:spPr bwMode="auto">
        <a:xfrm>
          <a:off x="367080" y="285750"/>
          <a:ext cx="1238888" cy="540280"/>
        </a:xfrm>
        <a:prstGeom prst="rect">
          <a:avLst/>
        </a:prstGeom>
        <a:ln>
          <a:noFill/>
        </a:ln>
        <a:effectLst>
          <a:outerShdw blurRad="292100" dist="139700" dir="2700000" algn="tl" rotWithShape="0">
            <a:srgbClr val="333333">
              <a:alpha val="65000"/>
            </a:srgbClr>
          </a:outerShdw>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UPEESPLA26\Carpeta%20Compartida-%20OAP%20v2\Documents%20and%20Settings\carheyner\Mis%20documentos\Mis%20Documentos\SOGI%20-%20OAC%202015\INDICADORES\BASES%20DE%20DATOS\CONSOLIDADO%20PQRD%20SNR\BASE%20DE%20DATOS%20OAC%20JOSE%20-%2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Radicados"/>
      <sheetName val="Base de datos 2016"/>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6.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2.xml"/></Relationships>
</file>

<file path=xl/worksheets/_rels/sheet2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18.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19.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6"/>
  <sheetViews>
    <sheetView showGridLines="0" zoomScale="130" zoomScaleNormal="130" workbookViewId="0">
      <pane ySplit="8" topLeftCell="A9" activePane="bottomLeft" state="frozen"/>
      <selection pane="bottomLeft" activeCell="J12" sqref="J12:U14"/>
      <selection activeCell="J12" sqref="J12:U14"/>
    </sheetView>
  </sheetViews>
  <sheetFormatPr defaultColWidth="11.42578125" defaultRowHeight="12.75"/>
  <cols>
    <col min="1" max="1" width="3" style="1" bestFit="1" customWidth="1"/>
    <col min="2" max="2" width="12" style="1" bestFit="1" customWidth="1"/>
    <col min="3" max="4" width="15" style="1" customWidth="1"/>
    <col min="5" max="5" width="15" style="54" customWidth="1"/>
    <col min="6" max="6" width="15" style="1" customWidth="1"/>
    <col min="7" max="7" width="15" style="54" customWidth="1"/>
    <col min="8" max="8" width="2.5703125" style="1" customWidth="1"/>
    <col min="9" max="9" width="15.85546875" style="1" customWidth="1"/>
    <col min="10" max="10" width="26.28515625" style="1" customWidth="1"/>
    <col min="11" max="11" width="40.85546875" style="1" customWidth="1"/>
    <col min="12" max="12" width="10.7109375" style="35" customWidth="1"/>
    <col min="13" max="13" width="10.5703125" style="35" customWidth="1"/>
    <col min="14" max="14" width="38.7109375" style="1" customWidth="1"/>
    <col min="15" max="16" width="11.85546875" style="1" customWidth="1"/>
    <col min="17" max="17" width="13.28515625" style="1" customWidth="1"/>
    <col min="18" max="18" width="13.5703125" style="35" customWidth="1"/>
    <col min="19" max="19" width="13.5703125" style="1" customWidth="1"/>
    <col min="20" max="20" width="14.7109375" style="35" customWidth="1"/>
    <col min="21" max="21" width="13.42578125" style="35" bestFit="1" customWidth="1"/>
    <col min="22" max="22" width="2.7109375" style="1" customWidth="1"/>
    <col min="23" max="25" width="23" style="1" customWidth="1"/>
    <col min="26" max="26" width="3.140625" style="1" customWidth="1"/>
    <col min="27" max="16384" width="11.42578125" style="1"/>
  </cols>
  <sheetData>
    <row r="1" spans="1:26" s="10" customFormat="1" ht="13.5" thickBot="1">
      <c r="A1" s="2"/>
      <c r="B1" s="2"/>
      <c r="C1" s="2"/>
      <c r="D1" s="2"/>
      <c r="E1" s="4"/>
      <c r="F1" s="2"/>
      <c r="G1" s="4"/>
      <c r="H1" s="2"/>
      <c r="I1" s="2"/>
      <c r="J1" s="3"/>
      <c r="K1" s="2"/>
      <c r="L1" s="55"/>
      <c r="M1" s="55"/>
      <c r="N1" s="2"/>
      <c r="O1" s="2"/>
      <c r="P1" s="4"/>
      <c r="Q1" s="2"/>
      <c r="R1" s="30"/>
      <c r="S1" s="2"/>
      <c r="T1" s="30"/>
      <c r="U1" s="2"/>
      <c r="V1" s="2"/>
      <c r="W1" s="2"/>
      <c r="X1" s="2"/>
      <c r="Y1" s="2"/>
      <c r="Z1" s="2"/>
    </row>
    <row r="2" spans="1:26" s="10" customFormat="1">
      <c r="A2" s="2"/>
      <c r="B2" s="5"/>
      <c r="C2" s="18"/>
      <c r="D2" s="18"/>
      <c r="E2" s="52"/>
      <c r="F2" s="18"/>
      <c r="G2" s="52"/>
      <c r="H2" s="47"/>
      <c r="I2" s="18"/>
      <c r="J2" s="286" t="s">
        <v>0</v>
      </c>
      <c r="K2" s="286"/>
      <c r="L2" s="286"/>
      <c r="M2" s="56"/>
      <c r="N2" s="6"/>
      <c r="O2" s="16"/>
      <c r="P2" s="7"/>
      <c r="Q2" s="6"/>
      <c r="R2" s="31"/>
      <c r="S2" s="6"/>
      <c r="T2" s="31"/>
      <c r="U2" s="16"/>
      <c r="V2" s="7"/>
      <c r="W2" s="6"/>
      <c r="X2" s="6"/>
      <c r="Y2" s="24"/>
      <c r="Z2" s="2"/>
    </row>
    <row r="3" spans="1:26" s="10" customFormat="1">
      <c r="A3" s="2"/>
      <c r="B3" s="8"/>
      <c r="C3" s="9"/>
      <c r="D3" s="9"/>
      <c r="E3" s="9"/>
      <c r="F3" s="9"/>
      <c r="G3" s="9"/>
      <c r="H3" s="40"/>
      <c r="I3" s="9"/>
      <c r="J3" s="287"/>
      <c r="K3" s="287"/>
      <c r="L3" s="287"/>
      <c r="M3" s="57"/>
      <c r="P3" s="11"/>
      <c r="R3" s="92"/>
      <c r="T3" s="32"/>
      <c r="U3" s="17"/>
      <c r="V3" s="11"/>
      <c r="W3" s="12"/>
      <c r="X3" s="12"/>
      <c r="Y3" s="25"/>
      <c r="Z3" s="2"/>
    </row>
    <row r="4" spans="1:26" s="10" customFormat="1">
      <c r="A4" s="2"/>
      <c r="B4" s="13"/>
      <c r="C4" s="14"/>
      <c r="D4" s="14"/>
      <c r="E4" s="9"/>
      <c r="F4" s="14"/>
      <c r="G4" s="9"/>
      <c r="H4" s="39"/>
      <c r="I4" s="14"/>
      <c r="J4" s="287"/>
      <c r="K4" s="287"/>
      <c r="L4" s="287"/>
      <c r="M4" s="58"/>
      <c r="N4" s="106"/>
      <c r="O4" s="12"/>
      <c r="P4" s="17"/>
      <c r="Q4" s="12"/>
      <c r="R4" s="32"/>
      <c r="S4" s="12"/>
      <c r="T4" s="32"/>
      <c r="U4" s="23"/>
      <c r="V4" s="46"/>
      <c r="W4" s="12"/>
      <c r="X4" s="12"/>
      <c r="Y4" s="25"/>
      <c r="Z4" s="2"/>
    </row>
    <row r="5" spans="1:26" s="10" customFormat="1" ht="24" thickBot="1">
      <c r="A5" s="2"/>
      <c r="B5" s="48"/>
      <c r="C5" s="19"/>
      <c r="D5" s="19"/>
      <c r="E5" s="53"/>
      <c r="F5" s="19"/>
      <c r="G5" s="53"/>
      <c r="H5" s="49"/>
      <c r="I5" s="38"/>
      <c r="J5" s="288"/>
      <c r="K5" s="288"/>
      <c r="L5" s="288"/>
      <c r="M5" s="105"/>
      <c r="N5" s="19"/>
      <c r="O5" s="19"/>
      <c r="P5" s="19"/>
      <c r="Q5" s="19"/>
      <c r="R5" s="33"/>
      <c r="S5" s="19"/>
      <c r="T5" s="33"/>
      <c r="U5" s="19"/>
      <c r="V5" s="49"/>
      <c r="W5" s="26"/>
      <c r="X5" s="26"/>
      <c r="Y5" s="27"/>
      <c r="Z5" s="2"/>
    </row>
    <row r="6" spans="1:26" s="10" customFormat="1" ht="13.5" thickBot="1">
      <c r="A6" s="2"/>
      <c r="B6" s="2"/>
      <c r="C6" s="2"/>
      <c r="D6" s="2"/>
      <c r="E6" s="4"/>
      <c r="F6" s="2"/>
      <c r="G6" s="4"/>
      <c r="H6" s="2"/>
      <c r="I6" s="2"/>
      <c r="J6" s="2"/>
      <c r="K6" s="2"/>
      <c r="L6" s="55"/>
      <c r="M6" s="55"/>
      <c r="N6" s="2"/>
      <c r="O6" s="2"/>
      <c r="P6" s="2"/>
      <c r="Q6" s="2"/>
      <c r="R6" s="30"/>
      <c r="S6" s="2"/>
      <c r="T6" s="2"/>
      <c r="U6" s="2"/>
      <c r="V6" s="2"/>
      <c r="W6" s="2"/>
      <c r="X6" s="2"/>
      <c r="Y6" s="2"/>
      <c r="Z6" s="2"/>
    </row>
    <row r="7" spans="1:26" s="10" customFormat="1" ht="13.5" thickBot="1">
      <c r="A7" s="2"/>
      <c r="B7" s="289" t="s">
        <v>1</v>
      </c>
      <c r="C7" s="290"/>
      <c r="D7" s="290"/>
      <c r="E7" s="290"/>
      <c r="F7" s="290"/>
      <c r="G7" s="291"/>
      <c r="H7" s="2"/>
      <c r="I7" s="292" t="s">
        <v>2</v>
      </c>
      <c r="J7" s="293"/>
      <c r="K7" s="293"/>
      <c r="L7" s="294"/>
      <c r="M7" s="294"/>
      <c r="N7" s="293"/>
      <c r="O7" s="293"/>
      <c r="P7" s="293"/>
      <c r="Q7" s="293"/>
      <c r="R7" s="293"/>
      <c r="S7" s="293"/>
      <c r="T7" s="293"/>
      <c r="U7" s="295"/>
      <c r="V7" s="2"/>
      <c r="W7" s="292" t="s">
        <v>3</v>
      </c>
      <c r="X7" s="293"/>
      <c r="Y7" s="296"/>
      <c r="Z7" s="2"/>
    </row>
    <row r="8" spans="1:26" ht="38.25">
      <c r="A8" s="2"/>
      <c r="B8" s="44" t="s">
        <v>4</v>
      </c>
      <c r="C8" s="36" t="s">
        <v>5</v>
      </c>
      <c r="D8" s="36" t="s">
        <v>6</v>
      </c>
      <c r="E8" s="36" t="s">
        <v>7</v>
      </c>
      <c r="F8" s="36" t="s">
        <v>8</v>
      </c>
      <c r="G8" s="36" t="s">
        <v>9</v>
      </c>
      <c r="H8" s="2"/>
      <c r="I8" s="44" t="s">
        <v>10</v>
      </c>
      <c r="J8" s="37" t="s">
        <v>11</v>
      </c>
      <c r="K8" s="37" t="s">
        <v>12</v>
      </c>
      <c r="L8" s="37" t="s">
        <v>13</v>
      </c>
      <c r="M8" s="37" t="s">
        <v>14</v>
      </c>
      <c r="N8" s="37" t="s">
        <v>15</v>
      </c>
      <c r="O8" s="37" t="s">
        <v>16</v>
      </c>
      <c r="P8" s="37" t="s">
        <v>17</v>
      </c>
      <c r="Q8" s="37" t="s">
        <v>18</v>
      </c>
      <c r="R8" s="37" t="s">
        <v>19</v>
      </c>
      <c r="S8" s="37" t="s">
        <v>20</v>
      </c>
      <c r="T8" s="36" t="s">
        <v>21</v>
      </c>
      <c r="U8" s="45" t="s">
        <v>22</v>
      </c>
      <c r="V8" s="2"/>
      <c r="W8" s="44" t="s">
        <v>23</v>
      </c>
      <c r="X8" s="36" t="s">
        <v>24</v>
      </c>
      <c r="Y8" s="45" t="s">
        <v>25</v>
      </c>
      <c r="Z8" s="2"/>
    </row>
    <row r="9" spans="1:26" ht="58.5" customHeight="1">
      <c r="A9" s="2"/>
      <c r="B9" s="82" t="s">
        <v>26</v>
      </c>
      <c r="C9" s="60" t="s">
        <v>27</v>
      </c>
      <c r="D9" s="60" t="s">
        <v>28</v>
      </c>
      <c r="E9" s="60" t="s">
        <v>29</v>
      </c>
      <c r="F9" s="60" t="s">
        <v>30</v>
      </c>
      <c r="G9" s="61" t="s">
        <v>31</v>
      </c>
      <c r="H9" s="2"/>
      <c r="I9" s="60" t="s">
        <v>32</v>
      </c>
      <c r="J9" s="60" t="s">
        <v>33</v>
      </c>
      <c r="K9" s="60" t="s">
        <v>34</v>
      </c>
      <c r="L9" s="63" t="s">
        <v>35</v>
      </c>
      <c r="M9" s="60" t="s">
        <v>36</v>
      </c>
      <c r="N9" s="60" t="s">
        <v>37</v>
      </c>
      <c r="O9" s="59" t="s">
        <v>38</v>
      </c>
      <c r="P9" s="59" t="s">
        <v>38</v>
      </c>
      <c r="Q9" s="59" t="s">
        <v>39</v>
      </c>
      <c r="R9" s="59" t="s">
        <v>40</v>
      </c>
      <c r="S9" s="63" t="s">
        <v>41</v>
      </c>
      <c r="T9" s="97">
        <v>0.8</v>
      </c>
      <c r="U9" s="64" t="s">
        <v>42</v>
      </c>
      <c r="V9" s="2"/>
      <c r="W9" s="66"/>
      <c r="X9" s="67"/>
      <c r="Y9" s="68"/>
      <c r="Z9" s="2"/>
    </row>
    <row r="10" spans="1:26" ht="58.5" customHeight="1">
      <c r="B10" s="82" t="s">
        <v>26</v>
      </c>
      <c r="C10" s="60" t="s">
        <v>43</v>
      </c>
      <c r="D10" s="60" t="s">
        <v>28</v>
      </c>
      <c r="E10" s="60" t="s">
        <v>29</v>
      </c>
      <c r="F10" s="60" t="s">
        <v>44</v>
      </c>
      <c r="G10" s="61" t="s">
        <v>45</v>
      </c>
      <c r="H10" s="2"/>
      <c r="I10" s="60" t="s">
        <v>46</v>
      </c>
      <c r="J10" s="60" t="s">
        <v>33</v>
      </c>
      <c r="K10" s="60" t="s">
        <v>47</v>
      </c>
      <c r="L10" s="63" t="s">
        <v>35</v>
      </c>
      <c r="M10" s="60" t="s">
        <v>36</v>
      </c>
      <c r="N10" s="60" t="s">
        <v>37</v>
      </c>
      <c r="O10" s="59" t="s">
        <v>38</v>
      </c>
      <c r="P10" s="59" t="s">
        <v>38</v>
      </c>
      <c r="Q10" s="59" t="s">
        <v>39</v>
      </c>
      <c r="R10" s="59" t="s">
        <v>40</v>
      </c>
      <c r="S10" s="63" t="s">
        <v>41</v>
      </c>
      <c r="T10" s="97">
        <v>0.7</v>
      </c>
      <c r="U10" s="64" t="s">
        <v>42</v>
      </c>
      <c r="V10" s="2"/>
      <c r="W10" s="66"/>
      <c r="X10" s="67"/>
      <c r="Y10" s="68"/>
      <c r="Z10" s="15"/>
    </row>
    <row r="11" spans="1:26" ht="58.5" customHeight="1">
      <c r="A11" s="2"/>
      <c r="B11" s="60" t="s">
        <v>26</v>
      </c>
      <c r="C11" s="60" t="s">
        <v>43</v>
      </c>
      <c r="D11" s="60" t="s">
        <v>28</v>
      </c>
      <c r="E11" s="60" t="s">
        <v>29</v>
      </c>
      <c r="F11" s="60" t="s">
        <v>44</v>
      </c>
      <c r="G11" s="60" t="s">
        <v>45</v>
      </c>
      <c r="H11" s="2"/>
      <c r="I11" s="60" t="s">
        <v>48</v>
      </c>
      <c r="J11" s="60" t="s">
        <v>49</v>
      </c>
      <c r="K11" s="60" t="s">
        <v>50</v>
      </c>
      <c r="L11" s="59" t="s">
        <v>35</v>
      </c>
      <c r="M11" s="60" t="s">
        <v>36</v>
      </c>
      <c r="N11" s="60" t="s">
        <v>51</v>
      </c>
      <c r="O11" s="59" t="s">
        <v>38</v>
      </c>
      <c r="P11" s="59" t="s">
        <v>38</v>
      </c>
      <c r="Q11" s="59" t="s">
        <v>39</v>
      </c>
      <c r="R11" s="59" t="s">
        <v>40</v>
      </c>
      <c r="S11" s="59" t="s">
        <v>41</v>
      </c>
      <c r="T11" s="97">
        <v>0.7</v>
      </c>
      <c r="U11" s="59" t="s">
        <v>42</v>
      </c>
      <c r="V11" s="2"/>
      <c r="W11" s="66"/>
      <c r="X11" s="67"/>
      <c r="Y11" s="68"/>
    </row>
    <row r="12" spans="1:26" ht="58.5" customHeight="1">
      <c r="B12" s="60" t="s">
        <v>26</v>
      </c>
      <c r="C12" s="60" t="s">
        <v>52</v>
      </c>
      <c r="D12" s="60" t="s">
        <v>28</v>
      </c>
      <c r="E12" s="60" t="s">
        <v>29</v>
      </c>
      <c r="F12" s="60" t="s">
        <v>53</v>
      </c>
      <c r="G12" s="60" t="s">
        <v>54</v>
      </c>
      <c r="H12" s="2"/>
      <c r="I12" s="60" t="s">
        <v>55</v>
      </c>
      <c r="J12" s="60" t="s">
        <v>56</v>
      </c>
      <c r="K12" s="60" t="s">
        <v>57</v>
      </c>
      <c r="L12" s="59" t="s">
        <v>35</v>
      </c>
      <c r="M12" s="59" t="s">
        <v>58</v>
      </c>
      <c r="N12" s="60" t="s">
        <v>59</v>
      </c>
      <c r="O12" s="59" t="s">
        <v>38</v>
      </c>
      <c r="P12" s="59" t="s">
        <v>38</v>
      </c>
      <c r="Q12" s="59" t="s">
        <v>39</v>
      </c>
      <c r="R12" s="59" t="s">
        <v>40</v>
      </c>
      <c r="S12" s="59" t="s">
        <v>41</v>
      </c>
      <c r="T12" s="65">
        <v>0.8</v>
      </c>
      <c r="U12" s="59" t="s">
        <v>42</v>
      </c>
      <c r="V12" s="2"/>
      <c r="W12" s="66"/>
      <c r="X12" s="67"/>
      <c r="Y12" s="68"/>
    </row>
    <row r="13" spans="1:26" ht="58.5" customHeight="1">
      <c r="B13" s="60" t="s">
        <v>26</v>
      </c>
      <c r="C13" s="60" t="s">
        <v>52</v>
      </c>
      <c r="D13" s="60" t="s">
        <v>28</v>
      </c>
      <c r="E13" s="60" t="s">
        <v>29</v>
      </c>
      <c r="F13" s="60" t="s">
        <v>53</v>
      </c>
      <c r="G13" s="60" t="s">
        <v>54</v>
      </c>
      <c r="H13" s="2"/>
      <c r="I13" s="60" t="s">
        <v>60</v>
      </c>
      <c r="J13" s="60" t="s">
        <v>61</v>
      </c>
      <c r="K13" s="60" t="s">
        <v>62</v>
      </c>
      <c r="L13" s="59" t="s">
        <v>35</v>
      </c>
      <c r="M13" s="59" t="s">
        <v>58</v>
      </c>
      <c r="N13" s="60" t="s">
        <v>63</v>
      </c>
      <c r="O13" s="59" t="s">
        <v>38</v>
      </c>
      <c r="P13" s="59" t="s">
        <v>38</v>
      </c>
      <c r="Q13" s="59" t="s">
        <v>39</v>
      </c>
      <c r="R13" s="59" t="s">
        <v>40</v>
      </c>
      <c r="S13" s="59" t="s">
        <v>41</v>
      </c>
      <c r="T13" s="65">
        <v>0.8</v>
      </c>
      <c r="U13" s="59" t="s">
        <v>42</v>
      </c>
      <c r="V13" s="2"/>
      <c r="W13" s="66"/>
      <c r="X13" s="67"/>
      <c r="Y13" s="68"/>
    </row>
    <row r="14" spans="1:26" ht="58.5" customHeight="1">
      <c r="A14" s="2"/>
      <c r="B14" s="60" t="s">
        <v>26</v>
      </c>
      <c r="C14" s="60" t="s">
        <v>52</v>
      </c>
      <c r="D14" s="60" t="s">
        <v>28</v>
      </c>
      <c r="E14" s="60" t="s">
        <v>29</v>
      </c>
      <c r="F14" s="60" t="s">
        <v>53</v>
      </c>
      <c r="G14" s="60" t="s">
        <v>54</v>
      </c>
      <c r="H14" s="2"/>
      <c r="I14" s="60" t="s">
        <v>64</v>
      </c>
      <c r="J14" s="60" t="s">
        <v>65</v>
      </c>
      <c r="K14" s="60" t="s">
        <v>66</v>
      </c>
      <c r="L14" s="59" t="s">
        <v>35</v>
      </c>
      <c r="M14" s="59" t="s">
        <v>58</v>
      </c>
      <c r="N14" s="60" t="s">
        <v>67</v>
      </c>
      <c r="O14" s="59" t="s">
        <v>38</v>
      </c>
      <c r="P14" s="59" t="s">
        <v>38</v>
      </c>
      <c r="Q14" s="59" t="s">
        <v>39</v>
      </c>
      <c r="R14" s="59" t="s">
        <v>40</v>
      </c>
      <c r="S14" s="59" t="s">
        <v>41</v>
      </c>
      <c r="T14" s="65">
        <v>0.05</v>
      </c>
      <c r="U14" s="59" t="s">
        <v>42</v>
      </c>
      <c r="V14" s="2"/>
      <c r="W14" s="66"/>
      <c r="X14" s="67"/>
      <c r="Y14" s="68"/>
    </row>
    <row r="15" spans="1:26" ht="58.5" customHeight="1">
      <c r="B15" s="60" t="s">
        <v>26</v>
      </c>
      <c r="C15" s="60" t="s">
        <v>68</v>
      </c>
      <c r="D15" s="60" t="s">
        <v>28</v>
      </c>
      <c r="E15" s="60" t="s">
        <v>29</v>
      </c>
      <c r="F15" s="60" t="s">
        <v>69</v>
      </c>
      <c r="G15" s="60" t="s">
        <v>70</v>
      </c>
      <c r="H15" s="2"/>
      <c r="I15" s="60" t="s">
        <v>71</v>
      </c>
      <c r="J15" s="60" t="s">
        <v>72</v>
      </c>
      <c r="K15" s="60" t="s">
        <v>73</v>
      </c>
      <c r="L15" s="59" t="s">
        <v>35</v>
      </c>
      <c r="M15" s="59" t="s">
        <v>58</v>
      </c>
      <c r="N15" s="60" t="s">
        <v>74</v>
      </c>
      <c r="O15" s="59" t="s">
        <v>75</v>
      </c>
      <c r="P15" s="59" t="s">
        <v>75</v>
      </c>
      <c r="Q15" s="59" t="s">
        <v>39</v>
      </c>
      <c r="R15" s="59" t="s">
        <v>40</v>
      </c>
      <c r="S15" s="59" t="s">
        <v>41</v>
      </c>
      <c r="T15" s="65">
        <v>0.6</v>
      </c>
      <c r="U15" s="59" t="s">
        <v>42</v>
      </c>
      <c r="V15" s="2"/>
      <c r="W15" s="66"/>
      <c r="X15" s="67"/>
      <c r="Y15" s="68"/>
    </row>
    <row r="16" spans="1:26" ht="58.5" customHeight="1">
      <c r="B16" s="60" t="s">
        <v>26</v>
      </c>
      <c r="C16" s="60" t="s">
        <v>68</v>
      </c>
      <c r="D16" s="60" t="s">
        <v>28</v>
      </c>
      <c r="E16" s="60" t="s">
        <v>29</v>
      </c>
      <c r="F16" s="60" t="s">
        <v>69</v>
      </c>
      <c r="G16" s="60" t="s">
        <v>70</v>
      </c>
      <c r="H16" s="2"/>
      <c r="I16" s="60" t="s">
        <v>76</v>
      </c>
      <c r="J16" s="60" t="s">
        <v>77</v>
      </c>
      <c r="K16" s="60" t="s">
        <v>78</v>
      </c>
      <c r="L16" s="59" t="s">
        <v>35</v>
      </c>
      <c r="M16" s="60" t="s">
        <v>36</v>
      </c>
      <c r="N16" s="60" t="s">
        <v>79</v>
      </c>
      <c r="O16" s="59" t="s">
        <v>75</v>
      </c>
      <c r="P16" s="59" t="s">
        <v>75</v>
      </c>
      <c r="Q16" s="59" t="s">
        <v>39</v>
      </c>
      <c r="R16" s="59" t="s">
        <v>40</v>
      </c>
      <c r="S16" s="59" t="s">
        <v>41</v>
      </c>
      <c r="T16" s="65">
        <v>0.8</v>
      </c>
      <c r="U16" s="59" t="s">
        <v>42</v>
      </c>
      <c r="V16" s="2"/>
      <c r="W16" s="66"/>
      <c r="X16" s="67"/>
      <c r="Y16" s="68"/>
    </row>
  </sheetData>
  <mergeCells count="4">
    <mergeCell ref="J2:L5"/>
    <mergeCell ref="B7:G7"/>
    <mergeCell ref="I7:U7"/>
    <mergeCell ref="W7:Y7"/>
  </mergeCells>
  <printOptions horizontalCentered="1" verticalCentered="1"/>
  <pageMargins left="0.59055118110236227" right="0" top="0.98425196850393704" bottom="0.98425196850393704" header="0.51181102362204722" footer="0.51181102362204722"/>
  <pageSetup paperSize="5" scale="70" orientation="landscape" r:id="rId1"/>
  <headerFooter>
    <oddFooter>&amp;L&amp;8DE-GE-PR-03-FR-05 V03 F04-12-2014</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27"/>
  <sheetViews>
    <sheetView showGridLines="0" zoomScale="130" zoomScaleNormal="130" workbookViewId="0">
      <pane ySplit="8" topLeftCell="A24" activePane="bottomLeft" state="frozen"/>
      <selection pane="bottomLeft" activeCell="J12" sqref="J12:U14"/>
      <selection activeCell="J12" sqref="J12:U14"/>
    </sheetView>
  </sheetViews>
  <sheetFormatPr defaultColWidth="11.42578125" defaultRowHeight="12.75"/>
  <cols>
    <col min="1" max="1" width="3" style="1" bestFit="1" customWidth="1"/>
    <col min="2" max="2" width="12" style="1" bestFit="1" customWidth="1"/>
    <col min="3" max="4" width="15" style="1" customWidth="1"/>
    <col min="5" max="5" width="15" style="54" customWidth="1"/>
    <col min="6" max="6" width="15" style="1" customWidth="1"/>
    <col min="7" max="7" width="15" style="54" customWidth="1"/>
    <col min="8" max="8" width="2.5703125" style="1" customWidth="1"/>
    <col min="9" max="9" width="15.85546875" style="1" customWidth="1"/>
    <col min="10" max="10" width="26.28515625" style="1" customWidth="1"/>
    <col min="11" max="11" width="40.85546875" style="1" customWidth="1"/>
    <col min="12" max="12" width="10.7109375" style="35" customWidth="1"/>
    <col min="13" max="13" width="10.5703125" style="35" customWidth="1"/>
    <col min="14" max="14" width="38.7109375" style="1" customWidth="1"/>
    <col min="15" max="16" width="11.85546875" style="1" customWidth="1"/>
    <col min="17" max="17" width="13.28515625" style="1" customWidth="1"/>
    <col min="18" max="18" width="13.5703125" style="35" customWidth="1"/>
    <col min="19" max="19" width="13.5703125" style="1" customWidth="1"/>
    <col min="20" max="20" width="14.7109375" style="35" customWidth="1"/>
    <col min="21" max="21" width="13.42578125" style="35" bestFit="1" customWidth="1"/>
    <col min="22" max="22" width="2.7109375" style="1" customWidth="1"/>
    <col min="23" max="25" width="23" style="1" customWidth="1"/>
    <col min="26" max="26" width="3.140625" style="1" customWidth="1"/>
    <col min="27" max="16384" width="11.42578125" style="1"/>
  </cols>
  <sheetData>
    <row r="1" spans="1:26" s="10" customFormat="1" ht="13.5" thickBot="1">
      <c r="A1" s="2"/>
      <c r="B1" s="2"/>
      <c r="C1" s="2"/>
      <c r="D1" s="2"/>
      <c r="E1" s="4"/>
      <c r="F1" s="2"/>
      <c r="G1" s="4"/>
      <c r="H1" s="2"/>
      <c r="I1" s="2"/>
      <c r="J1" s="3"/>
      <c r="K1" s="2"/>
      <c r="L1" s="55"/>
      <c r="M1" s="55"/>
      <c r="N1" s="2"/>
      <c r="O1" s="2"/>
      <c r="P1" s="4"/>
      <c r="Q1" s="2"/>
      <c r="R1" s="30"/>
      <c r="S1" s="2"/>
      <c r="T1" s="30"/>
      <c r="U1" s="2"/>
      <c r="V1" s="2"/>
      <c r="W1" s="2"/>
      <c r="X1" s="2"/>
      <c r="Y1" s="2"/>
      <c r="Z1" s="2"/>
    </row>
    <row r="2" spans="1:26" s="10" customFormat="1">
      <c r="A2" s="2"/>
      <c r="B2" s="5"/>
      <c r="C2" s="18"/>
      <c r="D2" s="18"/>
      <c r="E2" s="52"/>
      <c r="F2" s="18"/>
      <c r="G2" s="52"/>
      <c r="H2" s="47"/>
      <c r="I2" s="18"/>
      <c r="J2" s="286" t="s">
        <v>0</v>
      </c>
      <c r="K2" s="286"/>
      <c r="L2" s="286"/>
      <c r="M2" s="56"/>
      <c r="N2" s="6"/>
      <c r="O2" s="16"/>
      <c r="P2" s="7"/>
      <c r="Q2" s="6"/>
      <c r="R2" s="31"/>
      <c r="S2" s="6"/>
      <c r="T2" s="31"/>
      <c r="U2" s="16"/>
      <c r="V2" s="7"/>
      <c r="W2" s="6"/>
      <c r="X2" s="6"/>
      <c r="Y2" s="24"/>
      <c r="Z2" s="2"/>
    </row>
    <row r="3" spans="1:26" s="10" customFormat="1">
      <c r="A3" s="2"/>
      <c r="B3" s="8"/>
      <c r="C3" s="9"/>
      <c r="D3" s="9"/>
      <c r="E3" s="9"/>
      <c r="F3" s="9"/>
      <c r="G3" s="9"/>
      <c r="H3" s="40"/>
      <c r="I3" s="9"/>
      <c r="J3" s="287"/>
      <c r="K3" s="287"/>
      <c r="L3" s="287"/>
      <c r="M3" s="57"/>
      <c r="P3" s="11"/>
      <c r="R3" s="92"/>
      <c r="T3" s="32"/>
      <c r="U3" s="17"/>
      <c r="V3" s="11"/>
      <c r="W3" s="12"/>
      <c r="X3" s="12"/>
      <c r="Y3" s="25"/>
      <c r="Z3" s="2"/>
    </row>
    <row r="4" spans="1:26" s="10" customFormat="1">
      <c r="A4" s="2"/>
      <c r="B4" s="13"/>
      <c r="C4" s="14"/>
      <c r="D4" s="14"/>
      <c r="E4" s="9"/>
      <c r="F4" s="14"/>
      <c r="G4" s="9"/>
      <c r="H4" s="39"/>
      <c r="I4" s="14"/>
      <c r="J4" s="287"/>
      <c r="K4" s="287"/>
      <c r="L4" s="287"/>
      <c r="M4" s="58"/>
      <c r="N4" s="12"/>
      <c r="O4" s="12"/>
      <c r="P4" s="17"/>
      <c r="Q4" s="12"/>
      <c r="R4" s="32"/>
      <c r="S4" s="12"/>
      <c r="T4" s="32"/>
      <c r="U4" s="23"/>
      <c r="V4" s="46"/>
      <c r="W4" s="12"/>
      <c r="X4" s="12"/>
      <c r="Y4" s="25"/>
      <c r="Z4" s="2"/>
    </row>
    <row r="5" spans="1:26" s="10" customFormat="1" ht="24" thickBot="1">
      <c r="A5" s="2"/>
      <c r="B5" s="48"/>
      <c r="C5" s="19"/>
      <c r="D5" s="19"/>
      <c r="E5" s="53"/>
      <c r="F5" s="19"/>
      <c r="G5" s="53"/>
      <c r="H5" s="49"/>
      <c r="I5" s="38"/>
      <c r="J5" s="288"/>
      <c r="K5" s="288"/>
      <c r="L5" s="288"/>
      <c r="M5" s="105"/>
      <c r="N5" s="19"/>
      <c r="O5" s="19"/>
      <c r="P5" s="19"/>
      <c r="Q5" s="19"/>
      <c r="R5" s="33"/>
      <c r="S5" s="19"/>
      <c r="T5" s="33"/>
      <c r="U5" s="19"/>
      <c r="V5" s="49"/>
      <c r="W5" s="26"/>
      <c r="X5" s="26"/>
      <c r="Y5" s="27"/>
      <c r="Z5" s="2"/>
    </row>
    <row r="6" spans="1:26" s="10" customFormat="1" ht="13.5" thickBot="1">
      <c r="A6" s="2"/>
      <c r="B6" s="2"/>
      <c r="C6" s="2"/>
      <c r="D6" s="2"/>
      <c r="E6" s="4"/>
      <c r="F6" s="2"/>
      <c r="G6" s="4"/>
      <c r="H6" s="2"/>
      <c r="I6" s="2"/>
      <c r="J6" s="2"/>
      <c r="K6" s="2"/>
      <c r="L6" s="55"/>
      <c r="M6" s="55"/>
      <c r="N6" s="2"/>
      <c r="O6" s="2"/>
      <c r="P6" s="2"/>
      <c r="Q6" s="2"/>
      <c r="R6" s="30"/>
      <c r="S6" s="2"/>
      <c r="T6" s="2"/>
      <c r="U6" s="2"/>
      <c r="V6" s="2"/>
      <c r="W6" s="2"/>
      <c r="X6" s="2"/>
      <c r="Y6" s="2"/>
      <c r="Z6" s="2"/>
    </row>
    <row r="7" spans="1:26" s="10" customFormat="1" ht="13.5" thickBot="1">
      <c r="A7" s="2"/>
      <c r="B7" s="289" t="s">
        <v>1</v>
      </c>
      <c r="C7" s="290"/>
      <c r="D7" s="290"/>
      <c r="E7" s="290"/>
      <c r="F7" s="290"/>
      <c r="G7" s="291"/>
      <c r="H7" s="2"/>
      <c r="I7" s="292" t="s">
        <v>2</v>
      </c>
      <c r="J7" s="293"/>
      <c r="K7" s="293"/>
      <c r="L7" s="294"/>
      <c r="M7" s="294"/>
      <c r="N7" s="293"/>
      <c r="O7" s="293"/>
      <c r="P7" s="293"/>
      <c r="Q7" s="293"/>
      <c r="R7" s="293"/>
      <c r="S7" s="293"/>
      <c r="T7" s="293"/>
      <c r="U7" s="295"/>
      <c r="V7" s="2"/>
      <c r="W7" s="292" t="s">
        <v>3</v>
      </c>
      <c r="X7" s="293"/>
      <c r="Y7" s="296"/>
      <c r="Z7" s="2"/>
    </row>
    <row r="8" spans="1:26" ht="38.25">
      <c r="A8" s="2"/>
      <c r="B8" s="44" t="s">
        <v>4</v>
      </c>
      <c r="C8" s="36" t="s">
        <v>5</v>
      </c>
      <c r="D8" s="36" t="s">
        <v>6</v>
      </c>
      <c r="E8" s="36" t="s">
        <v>7</v>
      </c>
      <c r="F8" s="36" t="s">
        <v>8</v>
      </c>
      <c r="G8" s="36" t="s">
        <v>9</v>
      </c>
      <c r="H8" s="2"/>
      <c r="I8" s="44" t="s">
        <v>10</v>
      </c>
      <c r="J8" s="37" t="s">
        <v>11</v>
      </c>
      <c r="K8" s="37" t="s">
        <v>12</v>
      </c>
      <c r="L8" s="37" t="s">
        <v>13</v>
      </c>
      <c r="M8" s="37" t="s">
        <v>14</v>
      </c>
      <c r="N8" s="37" t="s">
        <v>15</v>
      </c>
      <c r="O8" s="37" t="s">
        <v>16</v>
      </c>
      <c r="P8" s="37" t="s">
        <v>17</v>
      </c>
      <c r="Q8" s="37" t="s">
        <v>18</v>
      </c>
      <c r="R8" s="37" t="s">
        <v>19</v>
      </c>
      <c r="S8" s="37" t="s">
        <v>20</v>
      </c>
      <c r="T8" s="36" t="s">
        <v>21</v>
      </c>
      <c r="U8" s="45" t="s">
        <v>22</v>
      </c>
      <c r="V8" s="2"/>
      <c r="W8" s="44" t="s">
        <v>23</v>
      </c>
      <c r="X8" s="36" t="s">
        <v>24</v>
      </c>
      <c r="Y8" s="45" t="s">
        <v>25</v>
      </c>
      <c r="Z8" s="2"/>
    </row>
    <row r="9" spans="1:26" ht="33.75">
      <c r="A9" s="2"/>
      <c r="B9" s="42" t="s">
        <v>342</v>
      </c>
      <c r="C9" s="28" t="s">
        <v>343</v>
      </c>
      <c r="D9" s="28" t="s">
        <v>344</v>
      </c>
      <c r="E9" s="28" t="s">
        <v>345</v>
      </c>
      <c r="F9" s="98" t="s">
        <v>346</v>
      </c>
      <c r="G9" s="43" t="s">
        <v>347</v>
      </c>
      <c r="H9" s="2"/>
      <c r="I9" s="41" t="s">
        <v>348</v>
      </c>
      <c r="J9" s="22" t="s">
        <v>349</v>
      </c>
      <c r="K9" s="28" t="s">
        <v>350</v>
      </c>
      <c r="L9" s="20" t="s">
        <v>35</v>
      </c>
      <c r="M9" s="29" t="s">
        <v>58</v>
      </c>
      <c r="N9" s="28" t="s">
        <v>351</v>
      </c>
      <c r="O9" s="28" t="s">
        <v>352</v>
      </c>
      <c r="P9" s="28" t="s">
        <v>352</v>
      </c>
      <c r="Q9" s="29" t="s">
        <v>39</v>
      </c>
      <c r="R9" s="29" t="s">
        <v>40</v>
      </c>
      <c r="S9" s="20" t="s">
        <v>41</v>
      </c>
      <c r="T9" s="101">
        <v>7.0000000000000007E-2</v>
      </c>
      <c r="U9" s="51" t="s">
        <v>42</v>
      </c>
      <c r="V9" s="2"/>
      <c r="W9" s="50"/>
      <c r="X9" s="29"/>
      <c r="Y9" s="51"/>
    </row>
    <row r="10" spans="1:26" ht="33.75">
      <c r="A10" s="2"/>
      <c r="B10" s="42" t="s">
        <v>342</v>
      </c>
      <c r="C10" s="28" t="s">
        <v>343</v>
      </c>
      <c r="D10" s="28" t="s">
        <v>344</v>
      </c>
      <c r="E10" s="28" t="s">
        <v>345</v>
      </c>
      <c r="F10" s="98" t="s">
        <v>346</v>
      </c>
      <c r="G10" s="43" t="s">
        <v>347</v>
      </c>
      <c r="H10" s="2"/>
      <c r="I10" s="41" t="s">
        <v>353</v>
      </c>
      <c r="J10" s="22" t="s">
        <v>354</v>
      </c>
      <c r="K10" s="28" t="s">
        <v>355</v>
      </c>
      <c r="L10" s="20" t="s">
        <v>35</v>
      </c>
      <c r="M10" s="29" t="s">
        <v>36</v>
      </c>
      <c r="N10" s="28" t="s">
        <v>356</v>
      </c>
      <c r="O10" s="28" t="s">
        <v>357</v>
      </c>
      <c r="P10" s="28" t="s">
        <v>357</v>
      </c>
      <c r="Q10" s="29" t="s">
        <v>39</v>
      </c>
      <c r="R10" s="29" t="s">
        <v>40</v>
      </c>
      <c r="S10" s="20" t="s">
        <v>41</v>
      </c>
      <c r="T10" s="34">
        <v>0.78</v>
      </c>
      <c r="U10" s="51" t="s">
        <v>42</v>
      </c>
      <c r="V10" s="2"/>
      <c r="W10" s="50"/>
      <c r="X10" s="29"/>
      <c r="Y10" s="51"/>
    </row>
    <row r="11" spans="1:26" ht="33.75">
      <c r="A11" s="2"/>
      <c r="B11" s="42" t="s">
        <v>342</v>
      </c>
      <c r="C11" s="28" t="s">
        <v>358</v>
      </c>
      <c r="D11" s="28" t="s">
        <v>344</v>
      </c>
      <c r="E11" s="28" t="s">
        <v>345</v>
      </c>
      <c r="F11" s="98" t="s">
        <v>359</v>
      </c>
      <c r="G11" s="43" t="s">
        <v>360</v>
      </c>
      <c r="H11" s="2"/>
      <c r="I11" s="41" t="s">
        <v>361</v>
      </c>
      <c r="J11" s="22" t="s">
        <v>362</v>
      </c>
      <c r="K11" s="28" t="s">
        <v>363</v>
      </c>
      <c r="L11" s="20" t="s">
        <v>35</v>
      </c>
      <c r="M11" s="29" t="s">
        <v>36</v>
      </c>
      <c r="N11" s="28" t="s">
        <v>364</v>
      </c>
      <c r="O11" s="28" t="s">
        <v>357</v>
      </c>
      <c r="P11" s="28" t="s">
        <v>365</v>
      </c>
      <c r="Q11" s="29" t="s">
        <v>39</v>
      </c>
      <c r="R11" s="29" t="s">
        <v>40</v>
      </c>
      <c r="S11" s="20" t="s">
        <v>41</v>
      </c>
      <c r="T11" s="34">
        <v>0.94</v>
      </c>
      <c r="U11" s="51" t="s">
        <v>42</v>
      </c>
      <c r="V11" s="2"/>
      <c r="W11" s="50"/>
      <c r="X11" s="29"/>
      <c r="Y11" s="51"/>
    </row>
    <row r="12" spans="1:26" ht="45">
      <c r="A12" s="2"/>
      <c r="B12" s="42" t="s">
        <v>342</v>
      </c>
      <c r="C12" s="28" t="s">
        <v>358</v>
      </c>
      <c r="D12" s="28" t="s">
        <v>344</v>
      </c>
      <c r="E12" s="28" t="s">
        <v>345</v>
      </c>
      <c r="F12" s="98" t="s">
        <v>359</v>
      </c>
      <c r="G12" s="43" t="s">
        <v>360</v>
      </c>
      <c r="H12" s="2"/>
      <c r="I12" s="41" t="s">
        <v>366</v>
      </c>
      <c r="J12" s="22" t="s">
        <v>367</v>
      </c>
      <c r="K12" s="28" t="s">
        <v>368</v>
      </c>
      <c r="L12" s="20" t="s">
        <v>35</v>
      </c>
      <c r="M12" s="29" t="s">
        <v>58</v>
      </c>
      <c r="N12" s="28" t="s">
        <v>369</v>
      </c>
      <c r="O12" s="28" t="s">
        <v>357</v>
      </c>
      <c r="P12" s="28" t="s">
        <v>357</v>
      </c>
      <c r="Q12" s="29" t="s">
        <v>39</v>
      </c>
      <c r="R12" s="29" t="s">
        <v>40</v>
      </c>
      <c r="S12" s="29" t="s">
        <v>41</v>
      </c>
      <c r="T12" s="34">
        <v>0.87</v>
      </c>
      <c r="U12" s="51" t="s">
        <v>42</v>
      </c>
      <c r="V12" s="2"/>
      <c r="W12" s="50"/>
      <c r="X12" s="29"/>
      <c r="Y12" s="51"/>
    </row>
    <row r="13" spans="1:26" ht="45">
      <c r="A13" s="2"/>
      <c r="B13" s="42" t="s">
        <v>342</v>
      </c>
      <c r="C13" s="28" t="s">
        <v>370</v>
      </c>
      <c r="D13" s="28" t="s">
        <v>344</v>
      </c>
      <c r="E13" s="28" t="s">
        <v>345</v>
      </c>
      <c r="F13" s="98" t="s">
        <v>371</v>
      </c>
      <c r="G13" s="43" t="s">
        <v>372</v>
      </c>
      <c r="H13" s="2"/>
      <c r="I13" s="41" t="s">
        <v>373</v>
      </c>
      <c r="J13" s="22" t="s">
        <v>374</v>
      </c>
      <c r="K13" s="28" t="s">
        <v>375</v>
      </c>
      <c r="L13" s="29" t="s">
        <v>35</v>
      </c>
      <c r="M13" s="29" t="s">
        <v>58</v>
      </c>
      <c r="N13" s="28" t="s">
        <v>376</v>
      </c>
      <c r="O13" s="28" t="s">
        <v>377</v>
      </c>
      <c r="P13" s="28" t="s">
        <v>377</v>
      </c>
      <c r="Q13" s="29" t="s">
        <v>39</v>
      </c>
      <c r="R13" s="29" t="s">
        <v>40</v>
      </c>
      <c r="S13" s="29" t="s">
        <v>41</v>
      </c>
      <c r="T13" s="34">
        <v>0.75</v>
      </c>
      <c r="U13" s="29" t="s">
        <v>42</v>
      </c>
      <c r="V13" s="2"/>
      <c r="W13" s="50"/>
      <c r="X13" s="29"/>
      <c r="Y13" s="51"/>
    </row>
    <row r="14" spans="1:26" ht="45">
      <c r="A14" s="2"/>
      <c r="B14" s="42" t="s">
        <v>342</v>
      </c>
      <c r="C14" s="28" t="s">
        <v>370</v>
      </c>
      <c r="D14" s="28" t="s">
        <v>344</v>
      </c>
      <c r="E14" s="28" t="s">
        <v>345</v>
      </c>
      <c r="F14" s="98" t="s">
        <v>371</v>
      </c>
      <c r="G14" s="43" t="s">
        <v>372</v>
      </c>
      <c r="H14" s="2"/>
      <c r="I14" s="41" t="s">
        <v>378</v>
      </c>
      <c r="J14" s="22" t="s">
        <v>379</v>
      </c>
      <c r="K14" s="28" t="s">
        <v>380</v>
      </c>
      <c r="L14" s="29" t="s">
        <v>35</v>
      </c>
      <c r="M14" s="29" t="s">
        <v>58</v>
      </c>
      <c r="N14" s="28" t="s">
        <v>381</v>
      </c>
      <c r="O14" s="28" t="s">
        <v>382</v>
      </c>
      <c r="P14" s="28" t="s">
        <v>382</v>
      </c>
      <c r="Q14" s="29" t="s">
        <v>39</v>
      </c>
      <c r="R14" s="29" t="s">
        <v>40</v>
      </c>
      <c r="S14" s="29" t="s">
        <v>41</v>
      </c>
      <c r="T14" s="34">
        <v>0.75</v>
      </c>
      <c r="U14" s="29" t="s">
        <v>42</v>
      </c>
      <c r="V14" s="2"/>
      <c r="W14" s="50"/>
      <c r="X14" s="29"/>
      <c r="Y14" s="51"/>
    </row>
    <row r="15" spans="1:26" ht="33.75">
      <c r="A15" s="2"/>
      <c r="B15" s="42" t="s">
        <v>342</v>
      </c>
      <c r="C15" s="28" t="s">
        <v>383</v>
      </c>
      <c r="D15" s="28" t="s">
        <v>344</v>
      </c>
      <c r="E15" s="28" t="s">
        <v>345</v>
      </c>
      <c r="F15" s="98" t="s">
        <v>384</v>
      </c>
      <c r="G15" s="43" t="s">
        <v>385</v>
      </c>
      <c r="H15" s="2"/>
      <c r="I15" s="41" t="s">
        <v>386</v>
      </c>
      <c r="J15" s="22" t="s">
        <v>387</v>
      </c>
      <c r="K15" s="28" t="s">
        <v>388</v>
      </c>
      <c r="L15" s="29" t="s">
        <v>389</v>
      </c>
      <c r="M15" s="29" t="s">
        <v>58</v>
      </c>
      <c r="N15" s="28" t="s">
        <v>390</v>
      </c>
      <c r="O15" s="28" t="s">
        <v>391</v>
      </c>
      <c r="P15" s="28" t="s">
        <v>391</v>
      </c>
      <c r="Q15" s="29" t="s">
        <v>40</v>
      </c>
      <c r="R15" s="29" t="s">
        <v>40</v>
      </c>
      <c r="S15" s="29" t="s">
        <v>392</v>
      </c>
      <c r="T15" s="34" t="s">
        <v>393</v>
      </c>
      <c r="U15" s="29" t="s">
        <v>394</v>
      </c>
      <c r="V15" s="2"/>
      <c r="W15" s="50"/>
      <c r="X15" s="29"/>
      <c r="Y15" s="51"/>
    </row>
    <row r="16" spans="1:26" ht="33.75">
      <c r="A16" s="2"/>
      <c r="B16" s="42" t="s">
        <v>342</v>
      </c>
      <c r="C16" s="28" t="s">
        <v>383</v>
      </c>
      <c r="D16" s="28" t="s">
        <v>344</v>
      </c>
      <c r="E16" s="28" t="s">
        <v>345</v>
      </c>
      <c r="F16" s="98" t="s">
        <v>384</v>
      </c>
      <c r="G16" s="43" t="s">
        <v>385</v>
      </c>
      <c r="H16" s="2"/>
      <c r="I16" s="41" t="s">
        <v>395</v>
      </c>
      <c r="J16" s="22" t="s">
        <v>396</v>
      </c>
      <c r="K16" s="28" t="s">
        <v>397</v>
      </c>
      <c r="L16" s="29" t="s">
        <v>389</v>
      </c>
      <c r="M16" s="29" t="s">
        <v>58</v>
      </c>
      <c r="N16" s="103" t="s">
        <v>398</v>
      </c>
      <c r="O16" s="28" t="s">
        <v>391</v>
      </c>
      <c r="P16" s="28" t="s">
        <v>391</v>
      </c>
      <c r="Q16" s="29" t="s">
        <v>40</v>
      </c>
      <c r="R16" s="29" t="s">
        <v>40</v>
      </c>
      <c r="S16" s="29" t="s">
        <v>392</v>
      </c>
      <c r="T16" s="34" t="s">
        <v>393</v>
      </c>
      <c r="U16" s="29" t="s">
        <v>394</v>
      </c>
      <c r="V16" s="2"/>
      <c r="W16" s="50"/>
      <c r="X16" s="29"/>
      <c r="Y16" s="51"/>
    </row>
    <row r="17" spans="1:25" ht="45">
      <c r="A17" s="2"/>
      <c r="B17" s="42" t="s">
        <v>342</v>
      </c>
      <c r="C17" s="28" t="s">
        <v>383</v>
      </c>
      <c r="D17" s="28" t="s">
        <v>344</v>
      </c>
      <c r="E17" s="28" t="s">
        <v>345</v>
      </c>
      <c r="F17" s="98" t="s">
        <v>384</v>
      </c>
      <c r="G17" s="43" t="s">
        <v>385</v>
      </c>
      <c r="H17" s="2"/>
      <c r="I17" s="41" t="s">
        <v>399</v>
      </c>
      <c r="J17" s="22" t="s">
        <v>400</v>
      </c>
      <c r="K17" s="28" t="s">
        <v>401</v>
      </c>
      <c r="L17" s="29" t="s">
        <v>389</v>
      </c>
      <c r="M17" s="29" t="s">
        <v>58</v>
      </c>
      <c r="N17" s="28" t="s">
        <v>402</v>
      </c>
      <c r="O17" s="28" t="s">
        <v>391</v>
      </c>
      <c r="P17" s="28" t="s">
        <v>391</v>
      </c>
      <c r="Q17" s="29" t="s">
        <v>40</v>
      </c>
      <c r="R17" s="29" t="s">
        <v>40</v>
      </c>
      <c r="S17" s="29" t="s">
        <v>392</v>
      </c>
      <c r="T17" s="34" t="s">
        <v>393</v>
      </c>
      <c r="U17" s="29" t="s">
        <v>394</v>
      </c>
      <c r="V17" s="2"/>
      <c r="W17" s="50"/>
      <c r="X17" s="29"/>
      <c r="Y17" s="51"/>
    </row>
    <row r="18" spans="1:25" ht="33.75">
      <c r="A18" s="2"/>
      <c r="B18" s="42" t="s">
        <v>342</v>
      </c>
      <c r="C18" s="28" t="s">
        <v>383</v>
      </c>
      <c r="D18" s="28" t="s">
        <v>344</v>
      </c>
      <c r="E18" s="28" t="s">
        <v>345</v>
      </c>
      <c r="F18" s="98" t="s">
        <v>384</v>
      </c>
      <c r="G18" s="43" t="s">
        <v>385</v>
      </c>
      <c r="H18" s="2"/>
      <c r="I18" s="41" t="s">
        <v>403</v>
      </c>
      <c r="J18" s="22" t="s">
        <v>404</v>
      </c>
      <c r="K18" s="28" t="s">
        <v>405</v>
      </c>
      <c r="L18" s="29" t="s">
        <v>389</v>
      </c>
      <c r="M18" s="29" t="s">
        <v>58</v>
      </c>
      <c r="N18" s="28" t="s">
        <v>406</v>
      </c>
      <c r="O18" s="28" t="s">
        <v>391</v>
      </c>
      <c r="P18" s="28" t="s">
        <v>391</v>
      </c>
      <c r="Q18" s="29" t="s">
        <v>40</v>
      </c>
      <c r="R18" s="29" t="s">
        <v>40</v>
      </c>
      <c r="S18" s="29" t="s">
        <v>392</v>
      </c>
      <c r="T18" s="34" t="s">
        <v>393</v>
      </c>
      <c r="U18" s="29" t="s">
        <v>394</v>
      </c>
      <c r="V18" s="2"/>
      <c r="W18" s="50"/>
      <c r="X18" s="29"/>
      <c r="Y18" s="51"/>
    </row>
    <row r="19" spans="1:25" ht="33.75">
      <c r="A19" s="2"/>
      <c r="B19" s="42" t="s">
        <v>342</v>
      </c>
      <c r="C19" s="28" t="s">
        <v>383</v>
      </c>
      <c r="D19" s="28" t="s">
        <v>344</v>
      </c>
      <c r="E19" s="28" t="s">
        <v>345</v>
      </c>
      <c r="F19" s="98" t="s">
        <v>384</v>
      </c>
      <c r="G19" s="43" t="s">
        <v>385</v>
      </c>
      <c r="H19" s="2"/>
      <c r="I19" s="41" t="s">
        <v>403</v>
      </c>
      <c r="J19" s="22" t="s">
        <v>407</v>
      </c>
      <c r="K19" s="28" t="s">
        <v>408</v>
      </c>
      <c r="L19" s="29" t="s">
        <v>35</v>
      </c>
      <c r="M19" s="29" t="s">
        <v>58</v>
      </c>
      <c r="N19" s="28" t="s">
        <v>409</v>
      </c>
      <c r="O19" s="28" t="s">
        <v>391</v>
      </c>
      <c r="P19" s="28" t="s">
        <v>391</v>
      </c>
      <c r="Q19" s="29" t="s">
        <v>40</v>
      </c>
      <c r="R19" s="29" t="s">
        <v>40</v>
      </c>
      <c r="S19" s="29" t="s">
        <v>392</v>
      </c>
      <c r="T19" s="34" t="s">
        <v>393</v>
      </c>
      <c r="U19" s="29" t="s">
        <v>394</v>
      </c>
      <c r="V19" s="2"/>
      <c r="W19" s="50"/>
      <c r="X19" s="29"/>
      <c r="Y19" s="51"/>
    </row>
    <row r="20" spans="1:25" ht="33.75">
      <c r="A20" s="2"/>
      <c r="B20" s="42" t="s">
        <v>342</v>
      </c>
      <c r="C20" s="28" t="s">
        <v>383</v>
      </c>
      <c r="D20" s="28" t="s">
        <v>344</v>
      </c>
      <c r="E20" s="28" t="s">
        <v>345</v>
      </c>
      <c r="F20" s="98" t="s">
        <v>384</v>
      </c>
      <c r="G20" s="43" t="s">
        <v>385</v>
      </c>
      <c r="H20" s="2"/>
      <c r="I20" s="41" t="s">
        <v>403</v>
      </c>
      <c r="J20" s="22" t="s">
        <v>410</v>
      </c>
      <c r="K20" s="28" t="s">
        <v>411</v>
      </c>
      <c r="L20" s="29" t="s">
        <v>412</v>
      </c>
      <c r="M20" s="29" t="s">
        <v>58</v>
      </c>
      <c r="N20" s="28" t="s">
        <v>413</v>
      </c>
      <c r="O20" s="28" t="s">
        <v>391</v>
      </c>
      <c r="P20" s="28" t="s">
        <v>391</v>
      </c>
      <c r="Q20" s="29" t="s">
        <v>40</v>
      </c>
      <c r="R20" s="29" t="s">
        <v>40</v>
      </c>
      <c r="S20" s="29" t="s">
        <v>392</v>
      </c>
      <c r="T20" s="34" t="s">
        <v>393</v>
      </c>
      <c r="U20" s="29" t="s">
        <v>394</v>
      </c>
      <c r="V20" s="2"/>
      <c r="W20" s="50"/>
      <c r="X20" s="29"/>
      <c r="Y20" s="51"/>
    </row>
    <row r="21" spans="1:25" ht="45">
      <c r="A21" s="2"/>
      <c r="B21" s="42" t="s">
        <v>342</v>
      </c>
      <c r="C21" s="28" t="s">
        <v>383</v>
      </c>
      <c r="D21" s="28" t="s">
        <v>344</v>
      </c>
      <c r="E21" s="28" t="s">
        <v>345</v>
      </c>
      <c r="F21" s="98" t="s">
        <v>384</v>
      </c>
      <c r="G21" s="43" t="s">
        <v>385</v>
      </c>
      <c r="H21" s="2"/>
      <c r="I21" s="41" t="s">
        <v>403</v>
      </c>
      <c r="J21" s="22" t="s">
        <v>414</v>
      </c>
      <c r="K21" s="28" t="s">
        <v>415</v>
      </c>
      <c r="L21" s="29" t="s">
        <v>412</v>
      </c>
      <c r="M21" s="29" t="s">
        <v>58</v>
      </c>
      <c r="N21" s="28" t="s">
        <v>416</v>
      </c>
      <c r="O21" s="28" t="s">
        <v>391</v>
      </c>
      <c r="P21" s="28" t="s">
        <v>391</v>
      </c>
      <c r="Q21" s="29" t="s">
        <v>40</v>
      </c>
      <c r="R21" s="29" t="s">
        <v>40</v>
      </c>
      <c r="S21" s="29" t="s">
        <v>392</v>
      </c>
      <c r="T21" s="34" t="s">
        <v>393</v>
      </c>
      <c r="U21" s="29" t="s">
        <v>394</v>
      </c>
      <c r="V21" s="2"/>
      <c r="W21" s="50"/>
      <c r="X21" s="29"/>
      <c r="Y21" s="51"/>
    </row>
    <row r="22" spans="1:25" ht="33.75">
      <c r="A22" s="2"/>
      <c r="B22" s="42" t="s">
        <v>342</v>
      </c>
      <c r="C22" s="28" t="s">
        <v>383</v>
      </c>
      <c r="D22" s="28" t="s">
        <v>344</v>
      </c>
      <c r="E22" s="28" t="s">
        <v>345</v>
      </c>
      <c r="F22" s="98" t="s">
        <v>384</v>
      </c>
      <c r="G22" s="43" t="s">
        <v>385</v>
      </c>
      <c r="H22" s="2"/>
      <c r="I22" s="41" t="s">
        <v>403</v>
      </c>
      <c r="J22" s="22" t="s">
        <v>417</v>
      </c>
      <c r="K22" s="28" t="s">
        <v>418</v>
      </c>
      <c r="L22" s="29" t="s">
        <v>412</v>
      </c>
      <c r="M22" s="29" t="s">
        <v>58</v>
      </c>
      <c r="N22" s="28" t="s">
        <v>419</v>
      </c>
      <c r="O22" s="28" t="s">
        <v>391</v>
      </c>
      <c r="P22" s="28" t="s">
        <v>391</v>
      </c>
      <c r="Q22" s="29" t="s">
        <v>40</v>
      </c>
      <c r="R22" s="29" t="s">
        <v>40</v>
      </c>
      <c r="S22" s="29" t="s">
        <v>392</v>
      </c>
      <c r="T22" s="34" t="s">
        <v>393</v>
      </c>
      <c r="U22" s="29" t="s">
        <v>394</v>
      </c>
      <c r="V22" s="2"/>
      <c r="W22" s="50"/>
      <c r="X22" s="29"/>
      <c r="Y22" s="51"/>
    </row>
    <row r="23" spans="1:25" ht="33.75">
      <c r="A23" s="2"/>
      <c r="B23" s="42" t="s">
        <v>342</v>
      </c>
      <c r="C23" s="28" t="s">
        <v>383</v>
      </c>
      <c r="D23" s="28" t="s">
        <v>344</v>
      </c>
      <c r="E23" s="28" t="s">
        <v>345</v>
      </c>
      <c r="F23" s="98" t="s">
        <v>384</v>
      </c>
      <c r="G23" s="43" t="s">
        <v>385</v>
      </c>
      <c r="H23" s="2"/>
      <c r="I23" s="41" t="s">
        <v>403</v>
      </c>
      <c r="J23" s="22" t="s">
        <v>420</v>
      </c>
      <c r="K23" s="28" t="s">
        <v>421</v>
      </c>
      <c r="L23" s="29" t="s">
        <v>412</v>
      </c>
      <c r="M23" s="29" t="s">
        <v>58</v>
      </c>
      <c r="N23" s="28" t="s">
        <v>422</v>
      </c>
      <c r="O23" s="28" t="s">
        <v>391</v>
      </c>
      <c r="P23" s="28" t="s">
        <v>391</v>
      </c>
      <c r="Q23" s="29" t="s">
        <v>40</v>
      </c>
      <c r="R23" s="29" t="s">
        <v>40</v>
      </c>
      <c r="S23" s="29" t="s">
        <v>392</v>
      </c>
      <c r="T23" s="34" t="s">
        <v>393</v>
      </c>
      <c r="U23" s="29" t="s">
        <v>394</v>
      </c>
      <c r="V23" s="2"/>
      <c r="W23" s="50"/>
      <c r="X23" s="29"/>
      <c r="Y23" s="51"/>
    </row>
    <row r="24" spans="1:25" ht="33.75">
      <c r="A24" s="2"/>
      <c r="B24" s="42" t="s">
        <v>342</v>
      </c>
      <c r="C24" s="28" t="s">
        <v>383</v>
      </c>
      <c r="D24" s="28" t="s">
        <v>344</v>
      </c>
      <c r="E24" s="28" t="s">
        <v>345</v>
      </c>
      <c r="F24" s="98" t="s">
        <v>384</v>
      </c>
      <c r="G24" s="43" t="s">
        <v>385</v>
      </c>
      <c r="H24" s="2"/>
      <c r="I24" s="41" t="s">
        <v>403</v>
      </c>
      <c r="J24" s="22" t="s">
        <v>423</v>
      </c>
      <c r="K24" s="28" t="s">
        <v>424</v>
      </c>
      <c r="L24" s="29" t="s">
        <v>412</v>
      </c>
      <c r="M24" s="29" t="s">
        <v>58</v>
      </c>
      <c r="N24" s="28" t="s">
        <v>425</v>
      </c>
      <c r="O24" s="28" t="s">
        <v>391</v>
      </c>
      <c r="P24" s="28" t="s">
        <v>391</v>
      </c>
      <c r="Q24" s="29" t="s">
        <v>40</v>
      </c>
      <c r="R24" s="29" t="s">
        <v>40</v>
      </c>
      <c r="S24" s="29" t="s">
        <v>392</v>
      </c>
      <c r="T24" s="34" t="s">
        <v>393</v>
      </c>
      <c r="U24" s="29" t="s">
        <v>394</v>
      </c>
      <c r="V24" s="2"/>
      <c r="W24" s="50"/>
      <c r="X24" s="29"/>
      <c r="Y24" s="51"/>
    </row>
    <row r="25" spans="1:25" ht="45">
      <c r="A25" s="2"/>
      <c r="B25" s="42" t="s">
        <v>342</v>
      </c>
      <c r="C25" s="28" t="s">
        <v>383</v>
      </c>
      <c r="D25" s="28" t="s">
        <v>344</v>
      </c>
      <c r="E25" s="28" t="s">
        <v>345</v>
      </c>
      <c r="F25" s="98" t="s">
        <v>384</v>
      </c>
      <c r="G25" s="43" t="s">
        <v>385</v>
      </c>
      <c r="H25" s="2"/>
      <c r="I25" s="41" t="s">
        <v>403</v>
      </c>
      <c r="J25" s="22" t="s">
        <v>426</v>
      </c>
      <c r="K25" s="28" t="s">
        <v>427</v>
      </c>
      <c r="L25" s="29" t="s">
        <v>412</v>
      </c>
      <c r="M25" s="29" t="s">
        <v>58</v>
      </c>
      <c r="N25" s="28" t="s">
        <v>428</v>
      </c>
      <c r="O25" s="28" t="s">
        <v>391</v>
      </c>
      <c r="P25" s="28" t="s">
        <v>391</v>
      </c>
      <c r="Q25" s="29" t="s">
        <v>40</v>
      </c>
      <c r="R25" s="29" t="s">
        <v>40</v>
      </c>
      <c r="S25" s="29" t="s">
        <v>392</v>
      </c>
      <c r="T25" s="34" t="s">
        <v>393</v>
      </c>
      <c r="U25" s="29" t="s">
        <v>394</v>
      </c>
      <c r="V25" s="2"/>
      <c r="W25" s="50"/>
      <c r="X25" s="29"/>
      <c r="Y25" s="51"/>
    </row>
    <row r="26" spans="1:25" ht="33.75">
      <c r="A26" s="2"/>
      <c r="B26" s="42" t="s">
        <v>342</v>
      </c>
      <c r="C26" s="28" t="s">
        <v>383</v>
      </c>
      <c r="D26" s="28" t="s">
        <v>344</v>
      </c>
      <c r="E26" s="28" t="s">
        <v>345</v>
      </c>
      <c r="F26" s="98" t="s">
        <v>384</v>
      </c>
      <c r="G26" s="43" t="s">
        <v>385</v>
      </c>
      <c r="H26" s="2"/>
      <c r="I26" s="41" t="s">
        <v>403</v>
      </c>
      <c r="J26" s="22" t="s">
        <v>429</v>
      </c>
      <c r="K26" s="28" t="s">
        <v>430</v>
      </c>
      <c r="L26" s="29" t="s">
        <v>412</v>
      </c>
      <c r="M26" s="29" t="s">
        <v>58</v>
      </c>
      <c r="N26" s="28" t="s">
        <v>431</v>
      </c>
      <c r="O26" s="28" t="s">
        <v>391</v>
      </c>
      <c r="P26" s="28" t="s">
        <v>391</v>
      </c>
      <c r="Q26" s="29" t="s">
        <v>40</v>
      </c>
      <c r="R26" s="29" t="s">
        <v>40</v>
      </c>
      <c r="S26" s="29" t="s">
        <v>392</v>
      </c>
      <c r="T26" s="34" t="s">
        <v>393</v>
      </c>
      <c r="U26" s="29" t="s">
        <v>394</v>
      </c>
      <c r="V26" s="2"/>
      <c r="W26" s="50"/>
      <c r="X26" s="29"/>
      <c r="Y26" s="51"/>
    </row>
    <row r="27" spans="1:25" ht="45">
      <c r="A27" s="2"/>
      <c r="B27" s="42" t="s">
        <v>342</v>
      </c>
      <c r="C27" s="28" t="s">
        <v>432</v>
      </c>
      <c r="D27" s="28" t="s">
        <v>344</v>
      </c>
      <c r="E27" s="28" t="s">
        <v>345</v>
      </c>
      <c r="F27" s="43" t="s">
        <v>433</v>
      </c>
      <c r="G27" s="43"/>
      <c r="H27" s="2"/>
      <c r="I27" s="104"/>
      <c r="J27" s="22" t="s">
        <v>434</v>
      </c>
      <c r="K27" s="28" t="s">
        <v>435</v>
      </c>
      <c r="L27" s="29" t="s">
        <v>35</v>
      </c>
      <c r="M27" s="29" t="s">
        <v>36</v>
      </c>
      <c r="N27" s="28" t="s">
        <v>436</v>
      </c>
      <c r="O27" s="28" t="s">
        <v>437</v>
      </c>
      <c r="P27" s="28" t="s">
        <v>437</v>
      </c>
      <c r="Q27" s="29" t="s">
        <v>438</v>
      </c>
      <c r="R27" s="29" t="s">
        <v>438</v>
      </c>
      <c r="S27" s="29" t="s">
        <v>439</v>
      </c>
      <c r="T27" s="34">
        <v>0.95</v>
      </c>
      <c r="U27" s="29"/>
      <c r="V27" s="2"/>
      <c r="W27" s="50"/>
      <c r="X27" s="29"/>
      <c r="Y27" s="51"/>
    </row>
  </sheetData>
  <mergeCells count="4">
    <mergeCell ref="J2:L5"/>
    <mergeCell ref="B7:G7"/>
    <mergeCell ref="I7:U7"/>
    <mergeCell ref="W7:Y7"/>
  </mergeCells>
  <printOptions horizontalCentered="1" verticalCentered="1"/>
  <pageMargins left="0.59055118110236227" right="0" top="0.98425196850393704" bottom="0.98425196850393704" header="0.51181102362204722" footer="0.51181102362204722"/>
  <pageSetup paperSize="5" scale="70" orientation="landscape" r:id="rId1"/>
  <headerFooter>
    <oddFooter>&amp;L&amp;8DE-GE-PR-03-FR-05 V03 F04-12-2014</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21"/>
  <sheetViews>
    <sheetView showGridLines="0" topLeftCell="C1" zoomScale="130" zoomScaleNormal="130" workbookViewId="0">
      <pane ySplit="8" topLeftCell="A18" activePane="bottomLeft" state="frozen"/>
      <selection pane="bottomLeft" activeCell="J12" sqref="J12:U14"/>
      <selection activeCell="J12" sqref="J12:U14"/>
    </sheetView>
  </sheetViews>
  <sheetFormatPr defaultColWidth="11.42578125" defaultRowHeight="12.75"/>
  <cols>
    <col min="1" max="1" width="3" style="1" bestFit="1" customWidth="1"/>
    <col min="2" max="2" width="12" style="1" bestFit="1" customWidth="1"/>
    <col min="3" max="4" width="15" style="1" customWidth="1"/>
    <col min="5" max="5" width="15" style="54" customWidth="1"/>
    <col min="6" max="6" width="15" style="1" customWidth="1"/>
    <col min="7" max="7" width="15" style="54" customWidth="1"/>
    <col min="8" max="8" width="2.5703125" style="1" customWidth="1"/>
    <col min="9" max="9" width="15.85546875" style="1" customWidth="1"/>
    <col min="10" max="10" width="26.28515625" style="1" customWidth="1"/>
    <col min="11" max="11" width="40.85546875" style="1" customWidth="1"/>
    <col min="12" max="12" width="10.7109375" style="35" customWidth="1"/>
    <col min="13" max="13" width="10.5703125" style="35" customWidth="1"/>
    <col min="14" max="14" width="38.7109375" style="1" customWidth="1"/>
    <col min="15" max="16" width="11.85546875" style="1" customWidth="1"/>
    <col min="17" max="17" width="13.28515625" style="1" customWidth="1"/>
    <col min="18" max="18" width="13.5703125" style="35" customWidth="1"/>
    <col min="19" max="19" width="13.5703125" style="1" customWidth="1"/>
    <col min="20" max="20" width="14.7109375" style="35" customWidth="1"/>
    <col min="21" max="21" width="13.42578125" style="35" bestFit="1" customWidth="1"/>
    <col min="22" max="22" width="2.7109375" style="1" customWidth="1"/>
    <col min="23" max="25" width="23" style="1" customWidth="1"/>
    <col min="26" max="26" width="3.140625" style="1" customWidth="1"/>
    <col min="27" max="16384" width="11.42578125" style="1"/>
  </cols>
  <sheetData>
    <row r="1" spans="1:26" s="10" customFormat="1" ht="13.5" hidden="1" thickBot="1">
      <c r="A1" s="2"/>
      <c r="B1" s="2"/>
      <c r="C1" s="2"/>
      <c r="D1" s="2"/>
      <c r="E1" s="4"/>
      <c r="F1" s="2"/>
      <c r="G1" s="4"/>
      <c r="H1" s="2"/>
      <c r="I1" s="2"/>
      <c r="J1" s="3"/>
      <c r="K1" s="2"/>
      <c r="L1" s="55"/>
      <c r="M1" s="55"/>
      <c r="N1" s="2"/>
      <c r="O1" s="2"/>
      <c r="P1" s="4"/>
      <c r="Q1" s="2"/>
      <c r="R1" s="30"/>
      <c r="S1" s="2"/>
      <c r="T1" s="30"/>
      <c r="U1" s="2"/>
      <c r="V1" s="2"/>
      <c r="W1" s="2"/>
      <c r="X1" s="2"/>
      <c r="Y1" s="2"/>
      <c r="Z1" s="2"/>
    </row>
    <row r="2" spans="1:26" s="10" customFormat="1" ht="13.5" hidden="1" thickBot="1">
      <c r="A2" s="2"/>
      <c r="B2" s="5"/>
      <c r="C2" s="18"/>
      <c r="D2" s="18"/>
      <c r="E2" s="52"/>
      <c r="F2" s="18"/>
      <c r="G2" s="52"/>
      <c r="H2" s="47"/>
      <c r="I2" s="18"/>
      <c r="J2" s="286" t="s">
        <v>0</v>
      </c>
      <c r="K2" s="286"/>
      <c r="L2" s="286"/>
      <c r="M2" s="56"/>
      <c r="N2" s="6"/>
      <c r="O2" s="16"/>
      <c r="P2" s="7"/>
      <c r="Q2" s="6"/>
      <c r="R2" s="31"/>
      <c r="S2" s="6"/>
      <c r="T2" s="31"/>
      <c r="U2" s="16"/>
      <c r="V2" s="7"/>
      <c r="W2" s="6"/>
      <c r="X2" s="6"/>
      <c r="Y2" s="24"/>
      <c r="Z2" s="2"/>
    </row>
    <row r="3" spans="1:26" s="10" customFormat="1" ht="13.5" hidden="1" thickBot="1">
      <c r="A3" s="2"/>
      <c r="B3" s="8"/>
      <c r="C3" s="9"/>
      <c r="D3" s="9"/>
      <c r="E3" s="9"/>
      <c r="F3" s="9"/>
      <c r="G3" s="9"/>
      <c r="H3" s="40"/>
      <c r="I3" s="9"/>
      <c r="J3" s="287"/>
      <c r="K3" s="287"/>
      <c r="L3" s="287"/>
      <c r="M3" s="57"/>
      <c r="P3" s="11"/>
      <c r="R3" s="92"/>
      <c r="T3" s="32"/>
      <c r="U3" s="17"/>
      <c r="V3" s="11"/>
      <c r="W3" s="12"/>
      <c r="X3" s="12"/>
      <c r="Y3" s="25"/>
      <c r="Z3" s="2"/>
    </row>
    <row r="4" spans="1:26" s="10" customFormat="1" ht="13.5" hidden="1" thickBot="1">
      <c r="A4" s="2"/>
      <c r="B4" s="13"/>
      <c r="C4" s="14"/>
      <c r="D4" s="14"/>
      <c r="E4" s="9"/>
      <c r="F4" s="14"/>
      <c r="G4" s="9"/>
      <c r="H4" s="39"/>
      <c r="I4" s="14"/>
      <c r="J4" s="287"/>
      <c r="K4" s="287"/>
      <c r="L4" s="287"/>
      <c r="M4" s="58"/>
      <c r="N4" s="12"/>
      <c r="O4" s="12"/>
      <c r="P4" s="17"/>
      <c r="Q4" s="12"/>
      <c r="R4" s="32"/>
      <c r="S4" s="12"/>
      <c r="T4" s="32"/>
      <c r="U4" s="23"/>
      <c r="V4" s="46"/>
      <c r="W4" s="12"/>
      <c r="X4" s="12"/>
      <c r="Y4" s="25"/>
      <c r="Z4" s="2"/>
    </row>
    <row r="5" spans="1:26" s="10" customFormat="1" ht="24" hidden="1" thickBot="1">
      <c r="A5" s="2"/>
      <c r="B5" s="48"/>
      <c r="C5" s="19"/>
      <c r="D5" s="19"/>
      <c r="E5" s="53"/>
      <c r="F5" s="19"/>
      <c r="G5" s="53"/>
      <c r="H5" s="49"/>
      <c r="I5" s="38"/>
      <c r="J5" s="288"/>
      <c r="K5" s="288"/>
      <c r="L5" s="288"/>
      <c r="M5" s="105"/>
      <c r="N5" s="19"/>
      <c r="O5" s="19"/>
      <c r="P5" s="19"/>
      <c r="Q5" s="19"/>
      <c r="R5" s="33"/>
      <c r="S5" s="19"/>
      <c r="T5" s="33"/>
      <c r="U5" s="19"/>
      <c r="V5" s="49"/>
      <c r="W5" s="26"/>
      <c r="X5" s="26"/>
      <c r="Y5" s="27"/>
      <c r="Z5" s="2"/>
    </row>
    <row r="6" spans="1:26" s="10" customFormat="1" ht="13.5" hidden="1" thickBot="1">
      <c r="A6" s="2"/>
      <c r="B6" s="2"/>
      <c r="C6" s="2"/>
      <c r="D6" s="2"/>
      <c r="E6" s="4"/>
      <c r="F6" s="2"/>
      <c r="G6" s="4"/>
      <c r="H6" s="2"/>
      <c r="I6" s="2"/>
      <c r="J6" s="2"/>
      <c r="K6" s="2"/>
      <c r="L6" s="55"/>
      <c r="M6" s="55"/>
      <c r="N6" s="2"/>
      <c r="O6" s="2"/>
      <c r="P6" s="2"/>
      <c r="Q6" s="2"/>
      <c r="R6" s="30"/>
      <c r="S6" s="2"/>
      <c r="T6" s="2"/>
      <c r="U6" s="2"/>
      <c r="V6" s="2"/>
      <c r="W6" s="2"/>
      <c r="X6" s="2"/>
      <c r="Y6" s="2"/>
      <c r="Z6" s="2"/>
    </row>
    <row r="7" spans="1:26" s="10" customFormat="1" ht="13.5" thickBot="1">
      <c r="A7" s="2"/>
      <c r="B7" s="289" t="s">
        <v>1</v>
      </c>
      <c r="C7" s="290"/>
      <c r="D7" s="290"/>
      <c r="E7" s="290"/>
      <c r="F7" s="290"/>
      <c r="G7" s="291"/>
      <c r="H7" s="2"/>
      <c r="I7" s="292" t="s">
        <v>2</v>
      </c>
      <c r="J7" s="293"/>
      <c r="K7" s="293"/>
      <c r="L7" s="294"/>
      <c r="M7" s="294"/>
      <c r="N7" s="293"/>
      <c r="O7" s="293"/>
      <c r="P7" s="293"/>
      <c r="Q7" s="293"/>
      <c r="R7" s="293"/>
      <c r="S7" s="293"/>
      <c r="T7" s="293"/>
      <c r="U7" s="295"/>
      <c r="V7" s="2"/>
      <c r="W7" s="292" t="s">
        <v>3</v>
      </c>
      <c r="X7" s="293"/>
      <c r="Y7" s="296"/>
      <c r="Z7" s="2"/>
    </row>
    <row r="8" spans="1:26" ht="38.25">
      <c r="A8" s="2"/>
      <c r="B8" s="44" t="s">
        <v>4</v>
      </c>
      <c r="C8" s="36" t="s">
        <v>5</v>
      </c>
      <c r="D8" s="36" t="s">
        <v>6</v>
      </c>
      <c r="E8" s="36" t="s">
        <v>7</v>
      </c>
      <c r="F8" s="36" t="s">
        <v>8</v>
      </c>
      <c r="G8" s="36" t="s">
        <v>9</v>
      </c>
      <c r="H8" s="2"/>
      <c r="I8" s="44" t="s">
        <v>10</v>
      </c>
      <c r="J8" s="37" t="s">
        <v>11</v>
      </c>
      <c r="K8" s="37" t="s">
        <v>12</v>
      </c>
      <c r="L8" s="37" t="s">
        <v>13</v>
      </c>
      <c r="M8" s="37" t="s">
        <v>14</v>
      </c>
      <c r="N8" s="37" t="s">
        <v>15</v>
      </c>
      <c r="O8" s="37" t="s">
        <v>16</v>
      </c>
      <c r="P8" s="37" t="s">
        <v>17</v>
      </c>
      <c r="Q8" s="37" t="s">
        <v>18</v>
      </c>
      <c r="R8" s="37" t="s">
        <v>19</v>
      </c>
      <c r="S8" s="37" t="s">
        <v>20</v>
      </c>
      <c r="T8" s="36" t="s">
        <v>21</v>
      </c>
      <c r="U8" s="45" t="s">
        <v>22</v>
      </c>
      <c r="V8" s="2"/>
      <c r="W8" s="44" t="s">
        <v>23</v>
      </c>
      <c r="X8" s="36" t="s">
        <v>24</v>
      </c>
      <c r="Y8" s="45" t="s">
        <v>25</v>
      </c>
      <c r="Z8" s="2"/>
    </row>
    <row r="9" spans="1:26" ht="45">
      <c r="B9" s="82" t="s">
        <v>342</v>
      </c>
      <c r="C9" s="60" t="s">
        <v>440</v>
      </c>
      <c r="D9" s="60" t="s">
        <v>441</v>
      </c>
      <c r="E9" s="60" t="s">
        <v>442</v>
      </c>
      <c r="F9" s="60" t="s">
        <v>443</v>
      </c>
      <c r="G9" s="61" t="s">
        <v>444</v>
      </c>
      <c r="H9" s="2"/>
      <c r="I9" s="60" t="s">
        <v>445</v>
      </c>
      <c r="J9" s="60" t="s">
        <v>446</v>
      </c>
      <c r="K9" s="60" t="s">
        <v>447</v>
      </c>
      <c r="L9" s="59" t="s">
        <v>35</v>
      </c>
      <c r="M9" s="60" t="s">
        <v>36</v>
      </c>
      <c r="N9" s="60" t="s">
        <v>448</v>
      </c>
      <c r="O9" s="60" t="s">
        <v>449</v>
      </c>
      <c r="P9" s="60" t="s">
        <v>449</v>
      </c>
      <c r="Q9" s="59" t="s">
        <v>39</v>
      </c>
      <c r="R9" s="59" t="s">
        <v>40</v>
      </c>
      <c r="S9" s="59" t="s">
        <v>41</v>
      </c>
      <c r="T9" s="97">
        <v>0.7</v>
      </c>
      <c r="U9" s="59" t="s">
        <v>42</v>
      </c>
      <c r="V9" s="2"/>
      <c r="W9" s="82"/>
      <c r="X9" s="60"/>
      <c r="Y9" s="61"/>
    </row>
    <row r="10" spans="1:26" ht="45">
      <c r="B10" s="82" t="s">
        <v>342</v>
      </c>
      <c r="C10" s="60" t="s">
        <v>440</v>
      </c>
      <c r="D10" s="60" t="s">
        <v>441</v>
      </c>
      <c r="E10" s="60" t="s">
        <v>442</v>
      </c>
      <c r="F10" s="60" t="s">
        <v>443</v>
      </c>
      <c r="G10" s="61" t="s">
        <v>444</v>
      </c>
      <c r="H10" s="2"/>
      <c r="I10" s="60" t="s">
        <v>445</v>
      </c>
      <c r="J10" s="60" t="s">
        <v>450</v>
      </c>
      <c r="K10" s="60" t="s">
        <v>451</v>
      </c>
      <c r="L10" s="59" t="s">
        <v>35</v>
      </c>
      <c r="M10" s="60" t="s">
        <v>36</v>
      </c>
      <c r="N10" s="60" t="s">
        <v>452</v>
      </c>
      <c r="O10" s="60" t="s">
        <v>453</v>
      </c>
      <c r="P10" s="60" t="s">
        <v>453</v>
      </c>
      <c r="Q10" s="59" t="s">
        <v>39</v>
      </c>
      <c r="R10" s="59" t="s">
        <v>40</v>
      </c>
      <c r="S10" s="59" t="s">
        <v>41</v>
      </c>
      <c r="T10" s="97">
        <v>0.9</v>
      </c>
      <c r="U10" s="59" t="s">
        <v>42</v>
      </c>
      <c r="V10" s="2"/>
      <c r="W10" s="82"/>
      <c r="X10" s="60"/>
      <c r="Y10" s="61"/>
    </row>
    <row r="11" spans="1:26" ht="45">
      <c r="B11" s="82" t="s">
        <v>342</v>
      </c>
      <c r="C11" s="60" t="s">
        <v>440</v>
      </c>
      <c r="D11" s="60" t="s">
        <v>441</v>
      </c>
      <c r="E11" s="60" t="s">
        <v>442</v>
      </c>
      <c r="F11" s="60" t="s">
        <v>443</v>
      </c>
      <c r="G11" s="61" t="s">
        <v>444</v>
      </c>
      <c r="H11" s="2"/>
      <c r="I11" s="60" t="s">
        <v>445</v>
      </c>
      <c r="J11" s="60" t="s">
        <v>454</v>
      </c>
      <c r="K11" s="60" t="s">
        <v>455</v>
      </c>
      <c r="L11" s="59" t="s">
        <v>35</v>
      </c>
      <c r="M11" s="60" t="s">
        <v>36</v>
      </c>
      <c r="N11" s="60" t="s">
        <v>456</v>
      </c>
      <c r="O11" s="60" t="s">
        <v>457</v>
      </c>
      <c r="P11" s="60" t="s">
        <v>457</v>
      </c>
      <c r="Q11" s="59" t="s">
        <v>39</v>
      </c>
      <c r="R11" s="59" t="s">
        <v>40</v>
      </c>
      <c r="S11" s="63" t="s">
        <v>41</v>
      </c>
      <c r="T11" s="97">
        <v>0.9</v>
      </c>
      <c r="U11" s="64" t="s">
        <v>42</v>
      </c>
      <c r="V11" s="2"/>
      <c r="W11" s="82"/>
      <c r="X11" s="60"/>
      <c r="Y11" s="61"/>
    </row>
    <row r="12" spans="1:26" ht="33.75">
      <c r="B12" s="82" t="s">
        <v>342</v>
      </c>
      <c r="C12" s="60" t="s">
        <v>458</v>
      </c>
      <c r="D12" s="60" t="s">
        <v>441</v>
      </c>
      <c r="E12" s="60" t="s">
        <v>442</v>
      </c>
      <c r="F12" s="60" t="s">
        <v>458</v>
      </c>
      <c r="G12" s="61" t="s">
        <v>221</v>
      </c>
      <c r="H12" s="2"/>
      <c r="I12" s="60" t="s">
        <v>459</v>
      </c>
      <c r="J12" s="60" t="s">
        <v>460</v>
      </c>
      <c r="K12" s="60" t="s">
        <v>461</v>
      </c>
      <c r="L12" s="59" t="s">
        <v>35</v>
      </c>
      <c r="M12" s="60" t="s">
        <v>36</v>
      </c>
      <c r="N12" s="60" t="s">
        <v>462</v>
      </c>
      <c r="O12" s="60" t="s">
        <v>463</v>
      </c>
      <c r="P12" s="60" t="s">
        <v>463</v>
      </c>
      <c r="Q12" s="59" t="s">
        <v>39</v>
      </c>
      <c r="R12" s="59" t="s">
        <v>40</v>
      </c>
      <c r="S12" s="63" t="s">
        <v>41</v>
      </c>
      <c r="T12" s="97">
        <v>0.98</v>
      </c>
      <c r="U12" s="61" t="s">
        <v>42</v>
      </c>
      <c r="V12" s="2"/>
      <c r="W12" s="82"/>
      <c r="X12" s="60"/>
      <c r="Y12" s="61"/>
    </row>
    <row r="13" spans="1:26" ht="33.75">
      <c r="B13" s="82" t="s">
        <v>342</v>
      </c>
      <c r="C13" s="60" t="s">
        <v>458</v>
      </c>
      <c r="D13" s="60" t="s">
        <v>441</v>
      </c>
      <c r="E13" s="60" t="s">
        <v>442</v>
      </c>
      <c r="F13" s="60" t="s">
        <v>458</v>
      </c>
      <c r="G13" s="61" t="s">
        <v>221</v>
      </c>
      <c r="H13" s="2"/>
      <c r="I13" s="60" t="s">
        <v>459</v>
      </c>
      <c r="J13" s="60" t="s">
        <v>464</v>
      </c>
      <c r="K13" s="60" t="s">
        <v>461</v>
      </c>
      <c r="L13" s="59" t="s">
        <v>35</v>
      </c>
      <c r="M13" s="60" t="s">
        <v>36</v>
      </c>
      <c r="N13" s="60" t="s">
        <v>465</v>
      </c>
      <c r="O13" s="60" t="s">
        <v>463</v>
      </c>
      <c r="P13" s="60" t="s">
        <v>466</v>
      </c>
      <c r="Q13" s="59" t="s">
        <v>39</v>
      </c>
      <c r="R13" s="59" t="s">
        <v>40</v>
      </c>
      <c r="S13" s="63" t="s">
        <v>41</v>
      </c>
      <c r="T13" s="97">
        <v>0.98</v>
      </c>
      <c r="U13" s="61"/>
      <c r="V13" s="2"/>
      <c r="W13" s="82"/>
      <c r="X13" s="60"/>
      <c r="Y13" s="61"/>
    </row>
    <row r="14" spans="1:26" ht="33.75">
      <c r="B14" s="82" t="s">
        <v>342</v>
      </c>
      <c r="C14" s="60" t="s">
        <v>458</v>
      </c>
      <c r="D14" s="60" t="s">
        <v>441</v>
      </c>
      <c r="E14" s="60" t="s">
        <v>442</v>
      </c>
      <c r="F14" s="60" t="s">
        <v>458</v>
      </c>
      <c r="G14" s="61" t="s">
        <v>221</v>
      </c>
      <c r="H14" s="2"/>
      <c r="I14" s="60" t="s">
        <v>459</v>
      </c>
      <c r="J14" s="60" t="s">
        <v>467</v>
      </c>
      <c r="K14" s="60" t="s">
        <v>461</v>
      </c>
      <c r="L14" s="59" t="s">
        <v>35</v>
      </c>
      <c r="M14" s="60" t="s">
        <v>58</v>
      </c>
      <c r="N14" s="60" t="s">
        <v>468</v>
      </c>
      <c r="O14" s="60"/>
      <c r="P14" s="60"/>
      <c r="Q14" s="59" t="s">
        <v>39</v>
      </c>
      <c r="R14" s="59" t="s">
        <v>40</v>
      </c>
      <c r="S14" s="63" t="s">
        <v>41</v>
      </c>
      <c r="T14" s="97"/>
      <c r="U14" s="61"/>
      <c r="V14" s="2"/>
      <c r="W14" s="82"/>
      <c r="X14" s="60"/>
      <c r="Y14" s="61"/>
    </row>
    <row r="15" spans="1:26" ht="33.75">
      <c r="B15" s="82" t="s">
        <v>342</v>
      </c>
      <c r="C15" s="60" t="s">
        <v>458</v>
      </c>
      <c r="D15" s="60" t="s">
        <v>441</v>
      </c>
      <c r="E15" s="60" t="s">
        <v>442</v>
      </c>
      <c r="F15" s="60" t="s">
        <v>458</v>
      </c>
      <c r="G15" s="61" t="s">
        <v>221</v>
      </c>
      <c r="H15" s="2"/>
      <c r="I15" s="60" t="s">
        <v>459</v>
      </c>
      <c r="J15" s="60" t="s">
        <v>469</v>
      </c>
      <c r="K15" s="60" t="s">
        <v>470</v>
      </c>
      <c r="L15" s="59" t="s">
        <v>35</v>
      </c>
      <c r="M15" s="60" t="s">
        <v>36</v>
      </c>
      <c r="N15" s="60" t="s">
        <v>471</v>
      </c>
      <c r="O15" s="60" t="s">
        <v>472</v>
      </c>
      <c r="P15" s="60" t="s">
        <v>472</v>
      </c>
      <c r="Q15" s="59" t="s">
        <v>39</v>
      </c>
      <c r="R15" s="59" t="s">
        <v>40</v>
      </c>
      <c r="S15" s="63" t="s">
        <v>41</v>
      </c>
      <c r="T15" s="97"/>
      <c r="U15" s="61"/>
      <c r="V15" s="2"/>
      <c r="W15" s="82"/>
      <c r="X15" s="60"/>
      <c r="Y15" s="61"/>
    </row>
    <row r="16" spans="1:26" ht="45">
      <c r="B16" s="82" t="s">
        <v>342</v>
      </c>
      <c r="C16" s="60" t="s">
        <v>473</v>
      </c>
      <c r="D16" s="60" t="s">
        <v>441</v>
      </c>
      <c r="E16" s="60" t="s">
        <v>442</v>
      </c>
      <c r="F16" s="60" t="s">
        <v>473</v>
      </c>
      <c r="G16" s="61" t="s">
        <v>474</v>
      </c>
      <c r="H16" s="2"/>
      <c r="I16" s="60" t="s">
        <v>475</v>
      </c>
      <c r="J16" s="60" t="s">
        <v>476</v>
      </c>
      <c r="K16" s="60" t="s">
        <v>477</v>
      </c>
      <c r="L16" s="59" t="s">
        <v>35</v>
      </c>
      <c r="M16" s="60" t="s">
        <v>36</v>
      </c>
      <c r="N16" s="60" t="s">
        <v>478</v>
      </c>
      <c r="O16" s="60" t="s">
        <v>479</v>
      </c>
      <c r="P16" s="60" t="s">
        <v>479</v>
      </c>
      <c r="Q16" s="59" t="s">
        <v>39</v>
      </c>
      <c r="R16" s="59" t="s">
        <v>40</v>
      </c>
      <c r="S16" s="63" t="s">
        <v>41</v>
      </c>
      <c r="T16" s="97">
        <v>0.75</v>
      </c>
      <c r="U16" s="64" t="s">
        <v>42</v>
      </c>
      <c r="V16" s="2"/>
      <c r="W16" s="82"/>
      <c r="X16" s="60"/>
      <c r="Y16" s="61"/>
    </row>
    <row r="17" spans="2:25" ht="33.75">
      <c r="B17" s="82" t="s">
        <v>342</v>
      </c>
      <c r="C17" s="60" t="s">
        <v>473</v>
      </c>
      <c r="D17" s="60" t="s">
        <v>441</v>
      </c>
      <c r="E17" s="60" t="s">
        <v>442</v>
      </c>
      <c r="F17" s="60" t="s">
        <v>473</v>
      </c>
      <c r="G17" s="61" t="s">
        <v>474</v>
      </c>
      <c r="H17" s="2"/>
      <c r="I17" s="60" t="s">
        <v>475</v>
      </c>
      <c r="J17" s="60" t="s">
        <v>480</v>
      </c>
      <c r="K17" s="60" t="s">
        <v>481</v>
      </c>
      <c r="L17" s="59" t="s">
        <v>35</v>
      </c>
      <c r="M17" s="60" t="s">
        <v>58</v>
      </c>
      <c r="N17" s="60" t="s">
        <v>482</v>
      </c>
      <c r="O17" s="60" t="s">
        <v>483</v>
      </c>
      <c r="P17" s="60" t="s">
        <v>483</v>
      </c>
      <c r="Q17" s="59" t="s">
        <v>39</v>
      </c>
      <c r="R17" s="59" t="s">
        <v>40</v>
      </c>
      <c r="S17" s="63" t="s">
        <v>41</v>
      </c>
      <c r="T17" s="97">
        <v>0.05</v>
      </c>
      <c r="U17" s="64" t="s">
        <v>42</v>
      </c>
      <c r="V17" s="2"/>
      <c r="W17" s="82"/>
      <c r="X17" s="60"/>
      <c r="Y17" s="61"/>
    </row>
    <row r="18" spans="2:25" ht="33.75">
      <c r="B18" s="82" t="s">
        <v>342</v>
      </c>
      <c r="C18" s="60" t="s">
        <v>473</v>
      </c>
      <c r="D18" s="60" t="s">
        <v>441</v>
      </c>
      <c r="E18" s="60" t="s">
        <v>442</v>
      </c>
      <c r="F18" s="60" t="s">
        <v>473</v>
      </c>
      <c r="G18" s="61" t="s">
        <v>474</v>
      </c>
      <c r="H18" s="2"/>
      <c r="I18" s="60" t="s">
        <v>475</v>
      </c>
      <c r="J18" s="60" t="s">
        <v>484</v>
      </c>
      <c r="K18" s="60" t="s">
        <v>485</v>
      </c>
      <c r="L18" s="59" t="s">
        <v>35</v>
      </c>
      <c r="M18" s="60" t="s">
        <v>58</v>
      </c>
      <c r="N18" s="60" t="s">
        <v>486</v>
      </c>
      <c r="O18" s="60" t="s">
        <v>487</v>
      </c>
      <c r="P18" s="60" t="s">
        <v>487</v>
      </c>
      <c r="Q18" s="59" t="s">
        <v>39</v>
      </c>
      <c r="R18" s="59" t="s">
        <v>40</v>
      </c>
      <c r="S18" s="63" t="s">
        <v>41</v>
      </c>
      <c r="T18" s="97">
        <v>0.05</v>
      </c>
      <c r="U18" s="64" t="s">
        <v>42</v>
      </c>
      <c r="V18" s="2"/>
      <c r="W18" s="82"/>
      <c r="X18" s="60"/>
      <c r="Y18" s="61"/>
    </row>
    <row r="19" spans="2:25" ht="45">
      <c r="B19" s="82" t="s">
        <v>488</v>
      </c>
      <c r="C19" s="60" t="s">
        <v>489</v>
      </c>
      <c r="D19" s="60" t="s">
        <v>441</v>
      </c>
      <c r="E19" s="60" t="s">
        <v>442</v>
      </c>
      <c r="F19" s="60" t="s">
        <v>489</v>
      </c>
      <c r="G19" s="61"/>
      <c r="H19" s="2"/>
      <c r="I19" s="60" t="s">
        <v>490</v>
      </c>
      <c r="J19" s="60" t="s">
        <v>491</v>
      </c>
      <c r="K19" s="60" t="s">
        <v>492</v>
      </c>
      <c r="L19" s="59" t="s">
        <v>493</v>
      </c>
      <c r="M19" s="60" t="s">
        <v>58</v>
      </c>
      <c r="N19" s="60" t="s">
        <v>494</v>
      </c>
      <c r="O19" s="60" t="s">
        <v>495</v>
      </c>
      <c r="P19" s="60" t="s">
        <v>495</v>
      </c>
      <c r="Q19" s="59" t="s">
        <v>39</v>
      </c>
      <c r="R19" s="59" t="s">
        <v>40</v>
      </c>
      <c r="S19" s="63" t="s">
        <v>41</v>
      </c>
      <c r="T19" s="96" t="s">
        <v>496</v>
      </c>
      <c r="U19" s="64" t="s">
        <v>42</v>
      </c>
      <c r="V19" s="2"/>
      <c r="W19" s="82"/>
      <c r="X19" s="60"/>
      <c r="Y19" s="61"/>
    </row>
    <row r="20" spans="2:25" ht="45">
      <c r="B20" s="82" t="s">
        <v>488</v>
      </c>
      <c r="C20" s="60" t="s">
        <v>489</v>
      </c>
      <c r="D20" s="60" t="s">
        <v>441</v>
      </c>
      <c r="E20" s="60" t="s">
        <v>442</v>
      </c>
      <c r="F20" s="60" t="s">
        <v>489</v>
      </c>
      <c r="G20" s="61"/>
      <c r="H20" s="2"/>
      <c r="I20" s="60" t="s">
        <v>490</v>
      </c>
      <c r="J20" s="60" t="s">
        <v>497</v>
      </c>
      <c r="K20" s="60" t="s">
        <v>498</v>
      </c>
      <c r="L20" s="59" t="s">
        <v>493</v>
      </c>
      <c r="M20" s="60" t="s">
        <v>58</v>
      </c>
      <c r="N20" s="60" t="s">
        <v>499</v>
      </c>
      <c r="O20" s="60" t="s">
        <v>495</v>
      </c>
      <c r="P20" s="60" t="s">
        <v>495</v>
      </c>
      <c r="Q20" s="59" t="s">
        <v>39</v>
      </c>
      <c r="R20" s="59" t="s">
        <v>40</v>
      </c>
      <c r="S20" s="63" t="s">
        <v>41</v>
      </c>
      <c r="T20" s="96" t="s">
        <v>500</v>
      </c>
      <c r="U20" s="64" t="s">
        <v>152</v>
      </c>
      <c r="V20" s="2"/>
      <c r="W20" s="82"/>
      <c r="X20" s="60"/>
      <c r="Y20" s="61"/>
    </row>
    <row r="21" spans="2:25" ht="56.25">
      <c r="B21" s="82" t="s">
        <v>488</v>
      </c>
      <c r="C21" s="60" t="s">
        <v>118</v>
      </c>
      <c r="D21" s="60" t="s">
        <v>441</v>
      </c>
      <c r="E21" s="60" t="s">
        <v>442</v>
      </c>
      <c r="F21" s="60" t="s">
        <v>501</v>
      </c>
      <c r="G21" s="61"/>
      <c r="H21" s="2"/>
      <c r="I21" s="60" t="s">
        <v>490</v>
      </c>
      <c r="J21" s="60" t="s">
        <v>502</v>
      </c>
      <c r="K21" s="60" t="s">
        <v>503</v>
      </c>
      <c r="L21" s="59" t="s">
        <v>35</v>
      </c>
      <c r="M21" s="60" t="s">
        <v>58</v>
      </c>
      <c r="N21" s="60" t="s">
        <v>504</v>
      </c>
      <c r="O21" s="60" t="s">
        <v>505</v>
      </c>
      <c r="P21" s="60" t="s">
        <v>505</v>
      </c>
      <c r="Q21" s="59" t="s">
        <v>39</v>
      </c>
      <c r="R21" s="59" t="s">
        <v>40</v>
      </c>
      <c r="S21" s="63" t="s">
        <v>41</v>
      </c>
      <c r="T21" s="97">
        <v>0.9</v>
      </c>
      <c r="U21" s="64" t="s">
        <v>506</v>
      </c>
      <c r="V21" s="2"/>
      <c r="W21" s="82"/>
      <c r="X21" s="60"/>
      <c r="Y21" s="61"/>
    </row>
  </sheetData>
  <mergeCells count="4">
    <mergeCell ref="J2:L5"/>
    <mergeCell ref="B7:G7"/>
    <mergeCell ref="I7:U7"/>
    <mergeCell ref="W7:Y7"/>
  </mergeCells>
  <printOptions horizontalCentered="1" verticalCentered="1"/>
  <pageMargins left="0.59055118110236227" right="0" top="0.98425196850393704" bottom="0.98425196850393704" header="0.51181102362204722" footer="0.51181102362204722"/>
  <pageSetup paperSize="5" scale="70" orientation="landscape" r:id="rId1"/>
  <headerFooter>
    <oddFooter>&amp;L&amp;8DE-GE-PR-03-FR-05 V03 F04-12-2014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10"/>
  <sheetViews>
    <sheetView showGridLines="0" zoomScale="110" zoomScaleNormal="110" workbookViewId="0">
      <selection activeCell="B5" sqref="B5"/>
    </sheetView>
  </sheetViews>
  <sheetFormatPr defaultColWidth="11.42578125" defaultRowHeight="12.75"/>
  <cols>
    <col min="1" max="1" width="3" style="1" bestFit="1" customWidth="1"/>
    <col min="2" max="2" width="19.28515625" style="1" customWidth="1"/>
    <col min="3" max="3" width="26.28515625" style="1" customWidth="1"/>
    <col min="4" max="4" width="40.85546875" style="1" customWidth="1"/>
    <col min="5" max="5" width="10.7109375" style="35" customWidth="1"/>
    <col min="6" max="6" width="10.5703125" style="35" customWidth="1"/>
    <col min="7" max="7" width="38.7109375" style="1" customWidth="1"/>
    <col min="8" max="9" width="11.85546875" style="1" customWidth="1"/>
    <col min="10" max="10" width="13.28515625" style="1" customWidth="1"/>
    <col min="11" max="11" width="13.5703125" style="35" customWidth="1"/>
    <col min="12" max="12" width="13.5703125" style="1" customWidth="1"/>
    <col min="13" max="13" width="14.7109375" style="35" customWidth="1"/>
    <col min="14" max="14" width="13.42578125" style="35" bestFit="1" customWidth="1"/>
    <col min="15" max="15" width="2.7109375" style="1" customWidth="1"/>
    <col min="16" max="16384" width="11.42578125" style="1"/>
  </cols>
  <sheetData>
    <row r="1" spans="1:15" s="10" customFormat="1" ht="13.5" thickBot="1">
      <c r="A1" s="2"/>
      <c r="B1" s="3"/>
      <c r="C1" s="2"/>
      <c r="D1" s="2"/>
      <c r="E1" s="2"/>
      <c r="F1" s="2"/>
      <c r="G1" s="4"/>
      <c r="H1" s="2"/>
      <c r="I1" s="2"/>
      <c r="J1" s="2"/>
      <c r="K1" s="2"/>
      <c r="L1" s="2"/>
      <c r="M1" s="2"/>
      <c r="N1" s="2"/>
      <c r="O1" s="2"/>
    </row>
    <row r="2" spans="1:15" s="10" customFormat="1" ht="12.75" customHeight="1">
      <c r="A2" s="2"/>
      <c r="B2" s="260"/>
      <c r="C2" s="127" t="s">
        <v>507</v>
      </c>
      <c r="D2" s="258"/>
      <c r="E2" s="6"/>
      <c r="F2" s="286" t="s">
        <v>0</v>
      </c>
      <c r="G2" s="286"/>
      <c r="H2" s="6"/>
      <c r="I2" s="6"/>
      <c r="J2" s="6"/>
      <c r="K2" s="6"/>
      <c r="L2" s="297"/>
      <c r="M2" s="297"/>
      <c r="N2" s="298"/>
      <c r="O2" s="2"/>
    </row>
    <row r="3" spans="1:15" s="10" customFormat="1" ht="12.75" customHeight="1">
      <c r="A3" s="2"/>
      <c r="B3" s="261"/>
      <c r="C3" s="130" t="s">
        <v>508</v>
      </c>
      <c r="D3" s="259"/>
      <c r="F3" s="287"/>
      <c r="G3" s="287"/>
      <c r="K3" s="12"/>
      <c r="L3" s="299"/>
      <c r="M3" s="299"/>
      <c r="N3" s="300"/>
      <c r="O3" s="2"/>
    </row>
    <row r="4" spans="1:15" s="10" customFormat="1" ht="12.75" customHeight="1">
      <c r="A4" s="2"/>
      <c r="B4" s="262"/>
      <c r="C4" s="303" t="s">
        <v>509</v>
      </c>
      <c r="D4" s="303"/>
      <c r="E4" s="12"/>
      <c r="F4" s="287"/>
      <c r="G4" s="287"/>
      <c r="H4" s="12"/>
      <c r="I4" s="12"/>
      <c r="J4" s="12"/>
      <c r="K4" s="12"/>
      <c r="L4" s="299"/>
      <c r="M4" s="299"/>
      <c r="N4" s="300"/>
      <c r="O4" s="2"/>
    </row>
    <row r="5" spans="1:15" s="10" customFormat="1" ht="24" thickBot="1">
      <c r="A5" s="2"/>
      <c r="B5" s="48"/>
      <c r="C5" s="19"/>
      <c r="D5" s="19"/>
      <c r="E5" s="19"/>
      <c r="F5" s="288"/>
      <c r="G5" s="288"/>
      <c r="H5" s="19"/>
      <c r="I5" s="19"/>
      <c r="J5" s="19"/>
      <c r="K5" s="19"/>
      <c r="L5" s="301"/>
      <c r="M5" s="301"/>
      <c r="N5" s="302"/>
      <c r="O5" s="2"/>
    </row>
    <row r="6" spans="1:15" s="10" customFormat="1">
      <c r="A6" s="2"/>
      <c r="B6" s="2"/>
      <c r="C6" s="2"/>
      <c r="D6" s="2"/>
      <c r="E6" s="2"/>
      <c r="F6" s="2"/>
      <c r="G6" s="2"/>
      <c r="H6" s="2"/>
      <c r="I6" s="2"/>
      <c r="J6" s="2"/>
      <c r="K6" s="2"/>
      <c r="L6" s="2"/>
      <c r="M6" s="2"/>
      <c r="N6" s="2"/>
      <c r="O6" s="2"/>
    </row>
    <row r="7" spans="1:15" ht="38.25">
      <c r="A7" s="2"/>
      <c r="B7" s="44" t="s">
        <v>10</v>
      </c>
      <c r="C7" s="37" t="s">
        <v>11</v>
      </c>
      <c r="D7" s="37" t="s">
        <v>12</v>
      </c>
      <c r="E7" s="37" t="s">
        <v>13</v>
      </c>
      <c r="F7" s="37" t="s">
        <v>14</v>
      </c>
      <c r="G7" s="37" t="s">
        <v>15</v>
      </c>
      <c r="H7" s="37" t="s">
        <v>16</v>
      </c>
      <c r="I7" s="37" t="s">
        <v>17</v>
      </c>
      <c r="J7" s="37" t="s">
        <v>18</v>
      </c>
      <c r="K7" s="37" t="s">
        <v>19</v>
      </c>
      <c r="L7" s="37" t="s">
        <v>20</v>
      </c>
      <c r="M7" s="36" t="s">
        <v>21</v>
      </c>
      <c r="N7" s="45" t="s">
        <v>22</v>
      </c>
      <c r="O7" s="2"/>
    </row>
    <row r="8" spans="1:15" ht="75.75" customHeight="1">
      <c r="A8" s="2"/>
      <c r="B8" s="263" t="s">
        <v>510</v>
      </c>
      <c r="C8" s="263" t="s">
        <v>511</v>
      </c>
      <c r="D8" s="263" t="s">
        <v>512</v>
      </c>
      <c r="E8" s="264" t="s">
        <v>35</v>
      </c>
      <c r="F8" s="264" t="s">
        <v>142</v>
      </c>
      <c r="G8" s="264" t="s">
        <v>513</v>
      </c>
      <c r="H8" s="270" t="s">
        <v>514</v>
      </c>
      <c r="I8" s="270" t="s">
        <v>514</v>
      </c>
      <c r="J8" s="264" t="s">
        <v>39</v>
      </c>
      <c r="K8" s="264" t="s">
        <v>515</v>
      </c>
      <c r="L8" s="264" t="s">
        <v>41</v>
      </c>
      <c r="M8" s="265">
        <v>0.95</v>
      </c>
      <c r="N8" s="264" t="s">
        <v>42</v>
      </c>
      <c r="O8" s="2"/>
    </row>
    <row r="9" spans="1:15" ht="75.75" customHeight="1">
      <c r="A9" s="2"/>
      <c r="B9" s="255" t="s">
        <v>516</v>
      </c>
      <c r="C9" s="255" t="s">
        <v>517</v>
      </c>
      <c r="D9" s="255" t="s">
        <v>518</v>
      </c>
      <c r="E9" s="256" t="s">
        <v>35</v>
      </c>
      <c r="F9" s="256" t="s">
        <v>142</v>
      </c>
      <c r="G9" s="256" t="s">
        <v>513</v>
      </c>
      <c r="H9" s="269" t="s">
        <v>519</v>
      </c>
      <c r="I9" s="269" t="s">
        <v>519</v>
      </c>
      <c r="J9" s="256" t="s">
        <v>39</v>
      </c>
      <c r="K9" s="264" t="s">
        <v>515</v>
      </c>
      <c r="L9" s="256" t="s">
        <v>41</v>
      </c>
      <c r="M9" s="257">
        <v>0.85</v>
      </c>
      <c r="N9" s="264" t="s">
        <v>42</v>
      </c>
      <c r="O9" s="2"/>
    </row>
    <row r="10" spans="1:15">
      <c r="A10" s="2"/>
      <c r="B10" s="3"/>
      <c r="C10" s="2"/>
      <c r="D10" s="2"/>
      <c r="E10" s="2"/>
      <c r="F10" s="3"/>
      <c r="G10" s="2"/>
      <c r="H10" s="2"/>
      <c r="I10" s="2"/>
      <c r="J10" s="2"/>
      <c r="K10" s="3"/>
      <c r="L10" s="2"/>
      <c r="M10" s="2"/>
      <c r="N10" s="2"/>
      <c r="O10" s="2"/>
    </row>
  </sheetData>
  <mergeCells count="3">
    <mergeCell ref="F2:G5"/>
    <mergeCell ref="L2:N5"/>
    <mergeCell ref="C4:D4"/>
  </mergeCells>
  <printOptions horizontalCentered="1" verticalCentered="1"/>
  <pageMargins left="0.59055118110236227" right="0" top="0.98425196850393704" bottom="0.98425196850393704" header="0.51181102362204722" footer="0.51181102362204722"/>
  <pageSetup paperSize="5" scale="70" orientation="landscape" r:id="rId1"/>
  <headerFooter>
    <oddFooter>&amp;L&amp;8DE-GE-PR-03-FR-05 V03 F04-12-2014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S17"/>
  <sheetViews>
    <sheetView showGridLines="0" tabSelected="1" zoomScaleNormal="100" workbookViewId="0">
      <selection activeCell="C19" sqref="C19"/>
    </sheetView>
  </sheetViews>
  <sheetFormatPr defaultColWidth="11.42578125" defaultRowHeight="15" customHeight="1"/>
  <cols>
    <col min="1" max="1" width="2.85546875" style="137" customWidth="1"/>
    <col min="2" max="2" width="29.140625" style="137" customWidth="1"/>
    <col min="3" max="3" width="30.85546875" style="137" customWidth="1"/>
    <col min="4" max="4" width="44.7109375" style="137" customWidth="1"/>
    <col min="5" max="5" width="37" style="137" customWidth="1"/>
    <col min="6" max="17" width="14.7109375" style="137" customWidth="1"/>
    <col min="18" max="18" width="9.28515625" style="137" customWidth="1"/>
    <col min="19" max="19" width="3.7109375" style="137" customWidth="1"/>
    <col min="20" max="16384" width="11.42578125" style="137"/>
  </cols>
  <sheetData>
    <row r="1" spans="1:19" s="10" customFormat="1" ht="13.5" thickBot="1">
      <c r="A1" s="2"/>
      <c r="B1" s="2"/>
      <c r="C1" s="2"/>
      <c r="D1" s="3"/>
      <c r="E1" s="2"/>
      <c r="F1" s="2"/>
      <c r="G1" s="2"/>
      <c r="H1" s="2"/>
      <c r="I1" s="2"/>
      <c r="J1" s="2"/>
      <c r="K1" s="2"/>
      <c r="L1" s="2"/>
      <c r="M1" s="2"/>
      <c r="N1" s="2"/>
      <c r="O1" s="2"/>
      <c r="P1" s="2"/>
      <c r="Q1" s="2"/>
      <c r="R1" s="2"/>
      <c r="S1" s="2"/>
    </row>
    <row r="2" spans="1:19" s="10" customFormat="1" ht="12.75">
      <c r="A2" s="2"/>
      <c r="B2" s="5"/>
      <c r="C2" s="126"/>
      <c r="D2" s="127" t="s">
        <v>507</v>
      </c>
      <c r="E2" s="128"/>
      <c r="F2" s="128"/>
      <c r="G2" s="6"/>
      <c r="H2" s="6"/>
      <c r="I2" s="16"/>
      <c r="J2" s="128"/>
      <c r="K2" s="6"/>
      <c r="L2" s="6"/>
      <c r="M2" s="16"/>
      <c r="N2" s="128"/>
      <c r="O2" s="6"/>
      <c r="P2" s="6"/>
      <c r="Q2" s="16"/>
      <c r="R2" s="129"/>
      <c r="S2" s="2"/>
    </row>
    <row r="3" spans="1:19" s="10" customFormat="1" ht="12.75">
      <c r="A3" s="2"/>
      <c r="B3" s="8"/>
      <c r="C3" s="9"/>
      <c r="D3" s="130" t="s">
        <v>520</v>
      </c>
      <c r="E3" s="131"/>
      <c r="F3" s="131"/>
      <c r="J3" s="131"/>
      <c r="N3" s="131"/>
      <c r="R3" s="132"/>
      <c r="S3" s="2"/>
    </row>
    <row r="4" spans="1:19" s="10" customFormat="1" ht="12.75">
      <c r="A4" s="2"/>
      <c r="B4" s="13"/>
      <c r="C4" s="14"/>
      <c r="D4" s="130" t="s">
        <v>509</v>
      </c>
      <c r="E4" s="133"/>
      <c r="F4" s="133"/>
      <c r="G4" s="12"/>
      <c r="H4" s="12"/>
      <c r="I4" s="12"/>
      <c r="J4" s="133"/>
      <c r="K4" s="12"/>
      <c r="L4" s="12"/>
      <c r="M4" s="12"/>
      <c r="N4" s="133"/>
      <c r="O4" s="12"/>
      <c r="P4" s="12"/>
      <c r="Q4" s="12"/>
      <c r="R4" s="134"/>
      <c r="S4" s="2"/>
    </row>
    <row r="5" spans="1:19" s="10" customFormat="1" ht="21.75" customHeight="1" thickBot="1">
      <c r="A5" s="2"/>
      <c r="B5" s="304" t="s">
        <v>521</v>
      </c>
      <c r="C5" s="305"/>
      <c r="D5" s="305"/>
      <c r="E5" s="305"/>
      <c r="F5" s="305"/>
      <c r="G5" s="305"/>
      <c r="H5" s="305"/>
      <c r="I5" s="305"/>
      <c r="J5" s="305"/>
      <c r="K5" s="305"/>
      <c r="L5" s="305"/>
      <c r="M5" s="305"/>
      <c r="N5" s="305"/>
      <c r="O5" s="305"/>
      <c r="P5" s="305"/>
      <c r="Q5" s="305"/>
      <c r="R5" s="306"/>
      <c r="S5" s="2"/>
    </row>
    <row r="6" spans="1:19" s="10" customFormat="1" ht="13.5" thickBot="1">
      <c r="A6" s="2"/>
      <c r="B6" s="2"/>
      <c r="C6" s="2"/>
      <c r="D6" s="2"/>
      <c r="E6" s="2"/>
      <c r="F6" s="2"/>
      <c r="G6" s="2"/>
      <c r="H6" s="2"/>
      <c r="I6" s="2"/>
      <c r="J6" s="2"/>
      <c r="K6" s="2"/>
      <c r="L6" s="2"/>
      <c r="M6" s="2"/>
      <c r="N6" s="2"/>
      <c r="O6" s="2"/>
      <c r="P6" s="2"/>
      <c r="Q6" s="2"/>
      <c r="R6" s="2"/>
      <c r="S6" s="2"/>
    </row>
    <row r="7" spans="1:19" ht="42" customHeight="1" thickBot="1">
      <c r="A7" s="2"/>
      <c r="B7" s="135" t="s">
        <v>522</v>
      </c>
      <c r="C7" s="136" t="s">
        <v>523</v>
      </c>
      <c r="D7" s="136" t="s">
        <v>524</v>
      </c>
      <c r="E7" s="143" t="s">
        <v>525</v>
      </c>
      <c r="F7" s="254" t="s">
        <v>526</v>
      </c>
      <c r="G7" s="254" t="s">
        <v>527</v>
      </c>
      <c r="H7" s="254" t="s">
        <v>528</v>
      </c>
      <c r="I7" s="254" t="s">
        <v>529</v>
      </c>
      <c r="J7" s="254" t="s">
        <v>530</v>
      </c>
      <c r="K7" s="254" t="s">
        <v>531</v>
      </c>
      <c r="L7" s="254" t="s">
        <v>532</v>
      </c>
      <c r="M7" s="254" t="s">
        <v>533</v>
      </c>
      <c r="N7" s="254" t="s">
        <v>534</v>
      </c>
      <c r="O7" s="254" t="s">
        <v>535</v>
      </c>
      <c r="P7" s="254" t="s">
        <v>536</v>
      </c>
      <c r="Q7" s="254" t="s">
        <v>537</v>
      </c>
      <c r="R7" s="136" t="s">
        <v>538</v>
      </c>
      <c r="S7" s="2"/>
    </row>
    <row r="8" spans="1:19" ht="12.75">
      <c r="A8" s="2"/>
      <c r="B8" s="307" t="s">
        <v>510</v>
      </c>
      <c r="C8" s="310" t="s">
        <v>511</v>
      </c>
      <c r="D8" s="313" t="s">
        <v>513</v>
      </c>
      <c r="E8" s="144" t="s">
        <v>539</v>
      </c>
      <c r="F8" s="201">
        <v>93</v>
      </c>
      <c r="G8" s="201">
        <v>85</v>
      </c>
      <c r="H8" s="201">
        <v>91</v>
      </c>
      <c r="I8" s="201">
        <v>34</v>
      </c>
      <c r="J8" s="201">
        <v>81</v>
      </c>
      <c r="K8" s="201">
        <v>94</v>
      </c>
      <c r="L8" s="250">
        <v>102</v>
      </c>
      <c r="M8" s="250">
        <v>72</v>
      </c>
      <c r="N8" s="250">
        <v>158</v>
      </c>
      <c r="O8" s="250">
        <v>110</v>
      </c>
      <c r="P8" s="250">
        <v>96</v>
      </c>
      <c r="Q8" s="253">
        <v>116</v>
      </c>
      <c r="R8" s="140">
        <f>SUM(F8:Q8)</f>
        <v>1132</v>
      </c>
      <c r="S8" s="2"/>
    </row>
    <row r="9" spans="1:19" ht="12.75">
      <c r="A9" s="2"/>
      <c r="B9" s="308"/>
      <c r="C9" s="311"/>
      <c r="D9" s="314"/>
      <c r="E9" s="147" t="s">
        <v>540</v>
      </c>
      <c r="F9" s="148">
        <v>95</v>
      </c>
      <c r="G9" s="148">
        <v>90</v>
      </c>
      <c r="H9" s="148">
        <v>93</v>
      </c>
      <c r="I9" s="148">
        <v>34</v>
      </c>
      <c r="J9" s="148">
        <v>84</v>
      </c>
      <c r="K9" s="148">
        <v>95</v>
      </c>
      <c r="L9" s="251">
        <v>103</v>
      </c>
      <c r="M9" s="251">
        <v>73</v>
      </c>
      <c r="N9" s="251">
        <v>159</v>
      </c>
      <c r="O9" s="251">
        <v>111</v>
      </c>
      <c r="P9" s="251">
        <v>96</v>
      </c>
      <c r="Q9" s="252">
        <v>117</v>
      </c>
      <c r="R9" s="149">
        <f>SUM(F9:Q9)</f>
        <v>1150</v>
      </c>
      <c r="S9" s="2"/>
    </row>
    <row r="10" spans="1:19" ht="12.75">
      <c r="A10" s="2"/>
      <c r="B10" s="308"/>
      <c r="C10" s="311"/>
      <c r="D10" s="314"/>
      <c r="E10" s="145" t="s">
        <v>148</v>
      </c>
      <c r="F10" s="138">
        <f>F8/F9</f>
        <v>0.97894736842105268</v>
      </c>
      <c r="G10" s="138">
        <f t="shared" ref="G10:R10" si="0">G8/G9</f>
        <v>0.94444444444444442</v>
      </c>
      <c r="H10" s="138">
        <f t="shared" si="0"/>
        <v>0.978494623655914</v>
      </c>
      <c r="I10" s="138">
        <f t="shared" si="0"/>
        <v>1</v>
      </c>
      <c r="J10" s="138">
        <f t="shared" si="0"/>
        <v>0.9642857142857143</v>
      </c>
      <c r="K10" s="138">
        <f t="shared" si="0"/>
        <v>0.98947368421052628</v>
      </c>
      <c r="L10" s="138">
        <f t="shared" si="0"/>
        <v>0.99029126213592233</v>
      </c>
      <c r="M10" s="138">
        <f t="shared" si="0"/>
        <v>0.98630136986301364</v>
      </c>
      <c r="N10" s="138">
        <f t="shared" si="0"/>
        <v>0.99371069182389937</v>
      </c>
      <c r="O10" s="138">
        <f t="shared" si="0"/>
        <v>0.99099099099099097</v>
      </c>
      <c r="P10" s="138">
        <f t="shared" si="0"/>
        <v>1</v>
      </c>
      <c r="Q10" s="138">
        <f t="shared" si="0"/>
        <v>0.99145299145299148</v>
      </c>
      <c r="R10" s="202">
        <f t="shared" si="0"/>
        <v>0.98434782608695648</v>
      </c>
      <c r="S10" s="2"/>
    </row>
    <row r="11" spans="1:19" ht="13.5" thickBot="1">
      <c r="A11" s="2"/>
      <c r="B11" s="309"/>
      <c r="C11" s="312"/>
      <c r="D11" s="315"/>
      <c r="E11" s="146" t="s">
        <v>541</v>
      </c>
      <c r="F11" s="139">
        <v>0.95</v>
      </c>
      <c r="G11" s="139">
        <v>0.95</v>
      </c>
      <c r="H11" s="139">
        <v>0.95</v>
      </c>
      <c r="I11" s="139">
        <v>0.95</v>
      </c>
      <c r="J11" s="139">
        <v>0.95</v>
      </c>
      <c r="K11" s="139">
        <v>0.95</v>
      </c>
      <c r="L11" s="139">
        <v>0.95</v>
      </c>
      <c r="M11" s="139">
        <v>0.95</v>
      </c>
      <c r="N11" s="139">
        <v>0.95</v>
      </c>
      <c r="O11" s="139">
        <v>0.95</v>
      </c>
      <c r="P11" s="139">
        <v>0.95</v>
      </c>
      <c r="Q11" s="139">
        <v>0.95</v>
      </c>
      <c r="R11" s="139">
        <v>0.95</v>
      </c>
      <c r="S11" s="2"/>
    </row>
    <row r="12" spans="1:19" ht="15" customHeight="1">
      <c r="A12" s="2"/>
      <c r="B12" s="307" t="s">
        <v>516</v>
      </c>
      <c r="C12" s="310" t="s">
        <v>517</v>
      </c>
      <c r="D12" s="313" t="s">
        <v>513</v>
      </c>
      <c r="E12" s="144" t="s">
        <v>539</v>
      </c>
      <c r="F12" s="201">
        <v>2636</v>
      </c>
      <c r="G12" s="201">
        <v>2735</v>
      </c>
      <c r="H12" s="201">
        <v>2368</v>
      </c>
      <c r="I12" s="201">
        <v>2504</v>
      </c>
      <c r="J12" s="201">
        <v>2565</v>
      </c>
      <c r="K12" s="201">
        <v>2398</v>
      </c>
      <c r="L12" s="250">
        <v>3882</v>
      </c>
      <c r="M12" s="250">
        <v>5342</v>
      </c>
      <c r="N12" s="250">
        <v>4292</v>
      </c>
      <c r="O12" s="250">
        <v>4903</v>
      </c>
      <c r="P12" s="250">
        <v>4740</v>
      </c>
      <c r="Q12" s="253">
        <v>3806</v>
      </c>
      <c r="R12" s="140">
        <f>SUM(F12:Q12)</f>
        <v>42171</v>
      </c>
      <c r="S12" s="2"/>
    </row>
    <row r="13" spans="1:19" ht="15" customHeight="1">
      <c r="A13" s="2"/>
      <c r="B13" s="308"/>
      <c r="C13" s="311"/>
      <c r="D13" s="314"/>
      <c r="E13" s="147" t="s">
        <v>540</v>
      </c>
      <c r="F13" s="148">
        <v>2679</v>
      </c>
      <c r="G13" s="148">
        <v>2821</v>
      </c>
      <c r="H13" s="148">
        <v>2464</v>
      </c>
      <c r="I13" s="148">
        <v>2540</v>
      </c>
      <c r="J13" s="148">
        <v>2617</v>
      </c>
      <c r="K13" s="148">
        <v>2460</v>
      </c>
      <c r="L13" s="251">
        <v>4039</v>
      </c>
      <c r="M13" s="251">
        <v>5425</v>
      </c>
      <c r="N13" s="251">
        <v>4421</v>
      </c>
      <c r="O13" s="251">
        <v>5047</v>
      </c>
      <c r="P13" s="251">
        <v>4827</v>
      </c>
      <c r="Q13" s="252">
        <v>3870</v>
      </c>
      <c r="R13" s="149">
        <f>SUM(F13:Q13)</f>
        <v>43210</v>
      </c>
      <c r="S13" s="2"/>
    </row>
    <row r="14" spans="1:19" ht="15" customHeight="1">
      <c r="A14" s="2"/>
      <c r="B14" s="308"/>
      <c r="C14" s="311"/>
      <c r="D14" s="314"/>
      <c r="E14" s="145" t="s">
        <v>148</v>
      </c>
      <c r="F14" s="138">
        <f>F12/F13</f>
        <v>0.98394923478910046</v>
      </c>
      <c r="G14" s="138">
        <f t="shared" ref="G14:R14" si="1">G12/G13</f>
        <v>0.96951435661113083</v>
      </c>
      <c r="H14" s="138">
        <f t="shared" si="1"/>
        <v>0.96103896103896103</v>
      </c>
      <c r="I14" s="138">
        <f t="shared" si="1"/>
        <v>0.98582677165354327</v>
      </c>
      <c r="J14" s="138">
        <f t="shared" si="1"/>
        <v>0.98012991975544517</v>
      </c>
      <c r="K14" s="138">
        <f t="shared" si="1"/>
        <v>0.97479674796747973</v>
      </c>
      <c r="L14" s="138">
        <f t="shared" si="1"/>
        <v>0.96112899232483284</v>
      </c>
      <c r="M14" s="138">
        <f t="shared" si="1"/>
        <v>0.98470046082949314</v>
      </c>
      <c r="N14" s="138">
        <f t="shared" si="1"/>
        <v>0.97082108120334765</v>
      </c>
      <c r="O14" s="138">
        <f t="shared" si="1"/>
        <v>0.97146819893005742</v>
      </c>
      <c r="P14" s="138">
        <f t="shared" si="1"/>
        <v>0.98197638284648847</v>
      </c>
      <c r="Q14" s="138">
        <f t="shared" si="1"/>
        <v>0.98346253229974157</v>
      </c>
      <c r="R14" s="202">
        <f t="shared" si="1"/>
        <v>0.97595464012959965</v>
      </c>
      <c r="S14" s="2"/>
    </row>
    <row r="15" spans="1:19" ht="15" customHeight="1" thickBot="1">
      <c r="A15" s="2"/>
      <c r="B15" s="309"/>
      <c r="C15" s="312"/>
      <c r="D15" s="315"/>
      <c r="E15" s="146" t="s">
        <v>541</v>
      </c>
      <c r="F15" s="139">
        <v>0.98</v>
      </c>
      <c r="G15" s="139">
        <v>0.98</v>
      </c>
      <c r="H15" s="139">
        <v>0.98</v>
      </c>
      <c r="I15" s="139">
        <v>0.98</v>
      </c>
      <c r="J15" s="139">
        <v>0.98</v>
      </c>
      <c r="K15" s="139">
        <v>0.98</v>
      </c>
      <c r="L15" s="139">
        <v>0.98</v>
      </c>
      <c r="M15" s="139">
        <v>0.98</v>
      </c>
      <c r="N15" s="139">
        <v>0.98</v>
      </c>
      <c r="O15" s="139">
        <v>0.98</v>
      </c>
      <c r="P15" s="139">
        <v>0.98</v>
      </c>
      <c r="Q15" s="139">
        <v>0.98</v>
      </c>
      <c r="R15" s="139">
        <v>0.98</v>
      </c>
      <c r="S15" s="2"/>
    </row>
    <row r="16" spans="1:19" ht="15" customHeight="1">
      <c r="A16" s="2"/>
      <c r="B16" s="2"/>
      <c r="C16" s="2"/>
      <c r="D16" s="2"/>
      <c r="E16" s="3"/>
      <c r="F16" s="2"/>
      <c r="G16" s="2"/>
      <c r="H16" s="2"/>
      <c r="I16" s="3"/>
      <c r="J16" s="2"/>
      <c r="K16" s="3"/>
      <c r="L16" s="2"/>
      <c r="M16" s="3"/>
      <c r="N16" s="2"/>
      <c r="O16" s="3"/>
      <c r="P16" s="2"/>
      <c r="Q16" s="3"/>
      <c r="R16" s="2"/>
      <c r="S16" s="2"/>
    </row>
    <row r="17" spans="13:13" ht="15" customHeight="1">
      <c r="M17" s="141"/>
    </row>
  </sheetData>
  <mergeCells count="7">
    <mergeCell ref="B5:R5"/>
    <mergeCell ref="B12:B15"/>
    <mergeCell ref="C12:C15"/>
    <mergeCell ref="D12:D15"/>
    <mergeCell ref="B8:B11"/>
    <mergeCell ref="C8:C11"/>
    <mergeCell ref="D8:D11"/>
  </mergeCells>
  <pageMargins left="0.70866141732283472" right="0.70866141732283472" top="0.74803149606299213" bottom="0.74803149606299213" header="0.31496062992125984" footer="0.31496062992125984"/>
  <pageSetup paperSize="143" scale="36"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H45"/>
  <sheetViews>
    <sheetView showGridLines="0" zoomScaleNormal="100" workbookViewId="0">
      <selection activeCell="AA9" sqref="AA9:AG19"/>
    </sheetView>
  </sheetViews>
  <sheetFormatPr defaultRowHeight="12.75"/>
  <cols>
    <col min="1" max="1" width="3.42578125" customWidth="1"/>
    <col min="2" max="12" width="9.140625" customWidth="1"/>
    <col min="13" max="18" width="7.85546875" customWidth="1"/>
    <col min="19" max="19" width="15.85546875" customWidth="1"/>
    <col min="20" max="24" width="8.42578125" customWidth="1"/>
    <col min="25" max="25" width="11.28515625" customWidth="1"/>
    <col min="26" max="26" width="12.42578125" customWidth="1"/>
    <col min="27" max="31" width="8.42578125" customWidth="1"/>
    <col min="32" max="32" width="10.85546875" customWidth="1"/>
    <col min="33" max="33" width="14.140625" customWidth="1"/>
    <col min="34" max="34" width="3.85546875" customWidth="1"/>
    <col min="35" max="256" width="11.42578125" customWidth="1"/>
  </cols>
  <sheetData>
    <row r="1" spans="1:34" s="10" customFormat="1">
      <c r="A1" s="2"/>
      <c r="B1" s="2"/>
      <c r="C1" s="2"/>
      <c r="D1" s="3"/>
      <c r="E1" s="2"/>
      <c r="F1" s="2"/>
      <c r="G1" s="2"/>
      <c r="H1" s="2"/>
      <c r="I1" s="2"/>
      <c r="J1" s="4"/>
      <c r="K1" s="2"/>
      <c r="L1" s="2"/>
      <c r="M1" s="2"/>
      <c r="N1" s="2"/>
      <c r="O1" s="2"/>
      <c r="P1" s="2"/>
      <c r="Q1" s="2"/>
      <c r="R1" s="2"/>
      <c r="S1" s="2"/>
      <c r="T1" s="2"/>
      <c r="U1" s="2"/>
      <c r="V1" s="2"/>
      <c r="W1" s="2"/>
      <c r="X1" s="2"/>
      <c r="Y1" s="2"/>
      <c r="Z1" s="2"/>
      <c r="AA1" s="2"/>
      <c r="AB1" s="2"/>
      <c r="AC1" s="2"/>
      <c r="AD1" s="2"/>
      <c r="AE1" s="2"/>
      <c r="AF1" s="2"/>
      <c r="AG1" s="2"/>
      <c r="AH1" s="2"/>
    </row>
    <row r="2" spans="1:34" s="10" customFormat="1">
      <c r="A2" s="2"/>
      <c r="B2" s="271"/>
      <c r="C2" s="272"/>
      <c r="D2" s="273"/>
      <c r="E2" s="274" t="s">
        <v>507</v>
      </c>
      <c r="F2" s="275"/>
      <c r="G2" s="275"/>
      <c r="H2" s="276"/>
      <c r="I2" s="277"/>
      <c r="J2" s="278"/>
      <c r="K2" s="276"/>
      <c r="L2" s="276"/>
      <c r="M2" s="327" t="s">
        <v>542</v>
      </c>
      <c r="N2" s="327"/>
      <c r="O2" s="327"/>
      <c r="P2" s="327"/>
      <c r="Q2" s="327"/>
      <c r="R2" s="327"/>
      <c r="S2" s="327"/>
      <c r="T2" s="279"/>
      <c r="U2" s="279"/>
      <c r="V2" s="279"/>
      <c r="W2" s="279"/>
      <c r="X2" s="279"/>
      <c r="Y2" s="279"/>
      <c r="Z2" s="279"/>
      <c r="AA2" s="279"/>
      <c r="AB2" s="279"/>
      <c r="AC2" s="279"/>
      <c r="AD2" s="279"/>
      <c r="AE2" s="279"/>
      <c r="AF2" s="279"/>
      <c r="AG2" s="280"/>
      <c r="AH2" s="2"/>
    </row>
    <row r="3" spans="1:34" s="10" customFormat="1">
      <c r="A3" s="2"/>
      <c r="B3" s="281"/>
      <c r="C3" s="9"/>
      <c r="D3" s="130"/>
      <c r="E3" s="130" t="s">
        <v>543</v>
      </c>
      <c r="F3" s="131"/>
      <c r="G3" s="131"/>
      <c r="J3" s="11"/>
      <c r="M3" s="328"/>
      <c r="N3" s="328"/>
      <c r="O3" s="328"/>
      <c r="P3" s="328"/>
      <c r="Q3" s="328"/>
      <c r="R3" s="328"/>
      <c r="S3" s="328"/>
      <c r="AG3" s="282"/>
      <c r="AH3" s="2"/>
    </row>
    <row r="4" spans="1:34" s="10" customFormat="1">
      <c r="A4" s="2"/>
      <c r="B4" s="283"/>
      <c r="C4" s="14"/>
      <c r="D4" s="142"/>
      <c r="E4" s="130" t="s">
        <v>509</v>
      </c>
      <c r="F4" s="133"/>
      <c r="G4" s="133"/>
      <c r="H4" s="12"/>
      <c r="I4" s="12"/>
      <c r="J4" s="17"/>
      <c r="K4" s="12"/>
      <c r="L4" s="12"/>
      <c r="M4" s="328"/>
      <c r="N4" s="328"/>
      <c r="O4" s="328"/>
      <c r="P4" s="328"/>
      <c r="Q4" s="328"/>
      <c r="R4" s="328"/>
      <c r="S4" s="328"/>
      <c r="AG4" s="282"/>
      <c r="AH4" s="2"/>
    </row>
    <row r="5" spans="1:34" s="10" customFormat="1" ht="23.25">
      <c r="A5" s="2"/>
      <c r="B5" s="316" t="s">
        <v>544</v>
      </c>
      <c r="C5" s="317"/>
      <c r="D5" s="317"/>
      <c r="E5" s="317"/>
      <c r="F5" s="317"/>
      <c r="G5" s="317"/>
      <c r="H5" s="317"/>
      <c r="I5" s="317"/>
      <c r="J5" s="317"/>
      <c r="K5" s="317"/>
      <c r="L5" s="317"/>
      <c r="M5" s="329"/>
      <c r="N5" s="329"/>
      <c r="O5" s="329"/>
      <c r="P5" s="329"/>
      <c r="Q5" s="329"/>
      <c r="R5" s="329"/>
      <c r="S5" s="329"/>
      <c r="T5" s="284"/>
      <c r="U5" s="284"/>
      <c r="V5" s="284"/>
      <c r="W5" s="284"/>
      <c r="X5" s="284"/>
      <c r="Y5" s="284"/>
      <c r="Z5" s="284"/>
      <c r="AA5" s="284"/>
      <c r="AB5" s="284"/>
      <c r="AC5" s="284"/>
      <c r="AD5" s="284"/>
      <c r="AE5" s="284"/>
      <c r="AF5" s="284"/>
      <c r="AG5" s="285"/>
      <c r="AH5" s="2"/>
    </row>
    <row r="6" spans="1:34" s="10" customForma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row>
    <row r="7" spans="1:34" s="1" customFormat="1" ht="12.75" customHeight="1">
      <c r="A7" s="2"/>
      <c r="B7" s="318" t="s">
        <v>545</v>
      </c>
      <c r="C7" s="319"/>
      <c r="D7" s="319"/>
      <c r="E7" s="319"/>
      <c r="F7" s="319"/>
      <c r="G7" s="319"/>
      <c r="H7" s="319"/>
      <c r="I7" s="319"/>
      <c r="J7" s="319"/>
      <c r="K7" s="319"/>
      <c r="L7" s="320"/>
      <c r="M7" s="330" t="s">
        <v>546</v>
      </c>
      <c r="N7" s="331"/>
      <c r="O7" s="331"/>
      <c r="P7" s="331"/>
      <c r="Q7" s="331"/>
      <c r="R7" s="331"/>
      <c r="S7" s="332"/>
      <c r="T7" s="330" t="s">
        <v>546</v>
      </c>
      <c r="U7" s="331"/>
      <c r="V7" s="331"/>
      <c r="W7" s="331"/>
      <c r="X7" s="331"/>
      <c r="Y7" s="331"/>
      <c r="Z7" s="332"/>
      <c r="AA7" s="330" t="s">
        <v>546</v>
      </c>
      <c r="AB7" s="331"/>
      <c r="AC7" s="331"/>
      <c r="AD7" s="331"/>
      <c r="AE7" s="331"/>
      <c r="AF7" s="331"/>
      <c r="AG7" s="332"/>
      <c r="AH7" s="2"/>
    </row>
    <row r="8" spans="1:34" s="1" customFormat="1" ht="12.75" customHeight="1">
      <c r="A8" s="2"/>
      <c r="B8" s="321"/>
      <c r="C8" s="322"/>
      <c r="D8" s="322"/>
      <c r="E8" s="322"/>
      <c r="F8" s="322"/>
      <c r="G8" s="322"/>
      <c r="H8" s="322"/>
      <c r="I8" s="322"/>
      <c r="J8" s="322"/>
      <c r="K8" s="322"/>
      <c r="L8" s="323"/>
      <c r="M8" s="324" t="s">
        <v>547</v>
      </c>
      <c r="N8" s="325"/>
      <c r="O8" s="325"/>
      <c r="P8" s="325"/>
      <c r="Q8" s="325"/>
      <c r="R8" s="325"/>
      <c r="S8" s="326"/>
      <c r="T8" s="324" t="s">
        <v>548</v>
      </c>
      <c r="U8" s="325"/>
      <c r="V8" s="325"/>
      <c r="W8" s="325"/>
      <c r="X8" s="325"/>
      <c r="Y8" s="325"/>
      <c r="Z8" s="326"/>
      <c r="AA8" s="324" t="s">
        <v>549</v>
      </c>
      <c r="AB8" s="325"/>
      <c r="AC8" s="325"/>
      <c r="AD8" s="325"/>
      <c r="AE8" s="325"/>
      <c r="AF8" s="325"/>
      <c r="AG8" s="326"/>
      <c r="AH8" s="2"/>
    </row>
    <row r="9" spans="1:34" s="1" customFormat="1">
      <c r="A9" s="2"/>
      <c r="B9" s="150"/>
      <c r="C9" s="151"/>
      <c r="D9" s="151"/>
      <c r="E9" s="151"/>
      <c r="F9" s="151"/>
      <c r="G9" s="151"/>
      <c r="H9" s="151"/>
      <c r="I9" s="151"/>
      <c r="J9" s="151"/>
      <c r="K9" s="151"/>
      <c r="L9" s="152"/>
      <c r="M9" s="333" t="s">
        <v>550</v>
      </c>
      <c r="N9" s="334"/>
      <c r="O9" s="334"/>
      <c r="P9" s="334"/>
      <c r="Q9" s="334"/>
      <c r="R9" s="334"/>
      <c r="S9" s="348"/>
      <c r="T9" s="333" t="s">
        <v>551</v>
      </c>
      <c r="U9" s="334"/>
      <c r="V9" s="334"/>
      <c r="W9" s="334"/>
      <c r="X9" s="334"/>
      <c r="Y9" s="334"/>
      <c r="Z9" s="348"/>
      <c r="AA9" s="333" t="s">
        <v>552</v>
      </c>
      <c r="AB9" s="334"/>
      <c r="AC9" s="334"/>
      <c r="AD9" s="334"/>
      <c r="AE9" s="334"/>
      <c r="AF9" s="334"/>
      <c r="AG9" s="348"/>
      <c r="AH9" s="2"/>
    </row>
    <row r="10" spans="1:34" s="1" customFormat="1">
      <c r="A10" s="2"/>
      <c r="B10" s="153"/>
      <c r="C10" s="155"/>
      <c r="D10" s="155"/>
      <c r="E10" s="155"/>
      <c r="F10" s="155"/>
      <c r="G10" s="155"/>
      <c r="H10" s="155"/>
      <c r="I10" s="155"/>
      <c r="J10" s="155"/>
      <c r="K10" s="155"/>
      <c r="L10" s="154"/>
      <c r="M10" s="335"/>
      <c r="N10" s="336"/>
      <c r="O10" s="336"/>
      <c r="P10" s="336"/>
      <c r="Q10" s="336"/>
      <c r="R10" s="336"/>
      <c r="S10" s="349"/>
      <c r="T10" s="335"/>
      <c r="U10" s="336"/>
      <c r="V10" s="336"/>
      <c r="W10" s="336"/>
      <c r="X10" s="336"/>
      <c r="Y10" s="336"/>
      <c r="Z10" s="349"/>
      <c r="AA10" s="335"/>
      <c r="AB10" s="336"/>
      <c r="AC10" s="336"/>
      <c r="AD10" s="336"/>
      <c r="AE10" s="336"/>
      <c r="AF10" s="336"/>
      <c r="AG10" s="349"/>
      <c r="AH10" s="2"/>
    </row>
    <row r="11" spans="1:34" s="1" customFormat="1">
      <c r="A11" s="2"/>
      <c r="B11" s="153"/>
      <c r="C11" s="155"/>
      <c r="D11" s="155"/>
      <c r="E11" s="155"/>
      <c r="F11" s="155"/>
      <c r="G11" s="155"/>
      <c r="H11" s="155"/>
      <c r="I11" s="155"/>
      <c r="J11" s="155"/>
      <c r="K11" s="155"/>
      <c r="L11" s="154"/>
      <c r="M11" s="335"/>
      <c r="N11" s="336"/>
      <c r="O11" s="336"/>
      <c r="P11" s="336"/>
      <c r="Q11" s="336"/>
      <c r="R11" s="336"/>
      <c r="S11" s="349"/>
      <c r="T11" s="335"/>
      <c r="U11" s="336"/>
      <c r="V11" s="336"/>
      <c r="W11" s="336"/>
      <c r="X11" s="336"/>
      <c r="Y11" s="336"/>
      <c r="Z11" s="349"/>
      <c r="AA11" s="335"/>
      <c r="AB11" s="336"/>
      <c r="AC11" s="336"/>
      <c r="AD11" s="336"/>
      <c r="AE11" s="336"/>
      <c r="AF11" s="336"/>
      <c r="AG11" s="349"/>
      <c r="AH11" s="2"/>
    </row>
    <row r="12" spans="1:34" s="1" customFormat="1">
      <c r="A12" s="2"/>
      <c r="B12" s="153"/>
      <c r="C12" s="155"/>
      <c r="D12" s="155"/>
      <c r="E12" s="155"/>
      <c r="F12" s="155"/>
      <c r="G12" s="155"/>
      <c r="H12" s="155"/>
      <c r="I12" s="155"/>
      <c r="J12" s="155"/>
      <c r="K12" s="155"/>
      <c r="L12" s="154"/>
      <c r="M12" s="335"/>
      <c r="N12" s="336"/>
      <c r="O12" s="336"/>
      <c r="P12" s="336"/>
      <c r="Q12" s="336"/>
      <c r="R12" s="336"/>
      <c r="S12" s="349"/>
      <c r="T12" s="335"/>
      <c r="U12" s="336"/>
      <c r="V12" s="336"/>
      <c r="W12" s="336"/>
      <c r="X12" s="336"/>
      <c r="Y12" s="336"/>
      <c r="Z12" s="349"/>
      <c r="AA12" s="335"/>
      <c r="AB12" s="336"/>
      <c r="AC12" s="336"/>
      <c r="AD12" s="336"/>
      <c r="AE12" s="336"/>
      <c r="AF12" s="336"/>
      <c r="AG12" s="349"/>
      <c r="AH12" s="2"/>
    </row>
    <row r="13" spans="1:34" s="1" customFormat="1">
      <c r="A13" s="2"/>
      <c r="B13" s="153"/>
      <c r="C13" s="155"/>
      <c r="D13" s="155"/>
      <c r="E13" s="155"/>
      <c r="F13" s="155"/>
      <c r="G13" s="155"/>
      <c r="H13" s="155"/>
      <c r="I13" s="155"/>
      <c r="J13" s="155"/>
      <c r="K13" s="155"/>
      <c r="L13" s="154"/>
      <c r="M13" s="335"/>
      <c r="N13" s="336"/>
      <c r="O13" s="336"/>
      <c r="P13" s="336"/>
      <c r="Q13" s="336"/>
      <c r="R13" s="336"/>
      <c r="S13" s="349"/>
      <c r="T13" s="335"/>
      <c r="U13" s="336"/>
      <c r="V13" s="336"/>
      <c r="W13" s="336"/>
      <c r="X13" s="336"/>
      <c r="Y13" s="336"/>
      <c r="Z13" s="349"/>
      <c r="AA13" s="335"/>
      <c r="AB13" s="336"/>
      <c r="AC13" s="336"/>
      <c r="AD13" s="336"/>
      <c r="AE13" s="336"/>
      <c r="AF13" s="336"/>
      <c r="AG13" s="349"/>
      <c r="AH13" s="2"/>
    </row>
    <row r="14" spans="1:34" s="1" customFormat="1">
      <c r="A14" s="2"/>
      <c r="B14" s="153"/>
      <c r="C14" s="155"/>
      <c r="D14" s="155"/>
      <c r="E14" s="155"/>
      <c r="F14" s="155"/>
      <c r="G14" s="155"/>
      <c r="H14" s="155"/>
      <c r="I14" s="155"/>
      <c r="J14" s="155"/>
      <c r="K14" s="155"/>
      <c r="L14" s="154"/>
      <c r="M14" s="335"/>
      <c r="N14" s="336"/>
      <c r="O14" s="336"/>
      <c r="P14" s="336"/>
      <c r="Q14" s="336"/>
      <c r="R14" s="336"/>
      <c r="S14" s="349"/>
      <c r="T14" s="335"/>
      <c r="U14" s="336"/>
      <c r="V14" s="336"/>
      <c r="W14" s="336"/>
      <c r="X14" s="336"/>
      <c r="Y14" s="336"/>
      <c r="Z14" s="349"/>
      <c r="AA14" s="335"/>
      <c r="AB14" s="336"/>
      <c r="AC14" s="336"/>
      <c r="AD14" s="336"/>
      <c r="AE14" s="336"/>
      <c r="AF14" s="336"/>
      <c r="AG14" s="349"/>
      <c r="AH14" s="2"/>
    </row>
    <row r="15" spans="1:34" s="1" customFormat="1">
      <c r="A15" s="2"/>
      <c r="B15" s="153"/>
      <c r="C15" s="155"/>
      <c r="D15" s="155"/>
      <c r="E15" s="155"/>
      <c r="F15" s="155"/>
      <c r="G15" s="155"/>
      <c r="H15" s="155"/>
      <c r="I15" s="155"/>
      <c r="J15" s="155"/>
      <c r="K15" s="155"/>
      <c r="L15" s="154"/>
      <c r="M15" s="335"/>
      <c r="N15" s="336"/>
      <c r="O15" s="336"/>
      <c r="P15" s="336"/>
      <c r="Q15" s="336"/>
      <c r="R15" s="336"/>
      <c r="S15" s="349"/>
      <c r="T15" s="335"/>
      <c r="U15" s="336"/>
      <c r="V15" s="336"/>
      <c r="W15" s="336"/>
      <c r="X15" s="336"/>
      <c r="Y15" s="336"/>
      <c r="Z15" s="349"/>
      <c r="AA15" s="335"/>
      <c r="AB15" s="336"/>
      <c r="AC15" s="336"/>
      <c r="AD15" s="336"/>
      <c r="AE15" s="336"/>
      <c r="AF15" s="336"/>
      <c r="AG15" s="349"/>
      <c r="AH15" s="2"/>
    </row>
    <row r="16" spans="1:34" s="1" customFormat="1">
      <c r="A16" s="2"/>
      <c r="B16" s="153"/>
      <c r="C16" s="155"/>
      <c r="D16" s="155"/>
      <c r="E16" s="155"/>
      <c r="F16" s="155"/>
      <c r="G16" s="155"/>
      <c r="H16" s="155"/>
      <c r="I16" s="155"/>
      <c r="J16" s="155"/>
      <c r="K16" s="155"/>
      <c r="L16" s="154"/>
      <c r="M16" s="335"/>
      <c r="N16" s="336"/>
      <c r="O16" s="336"/>
      <c r="P16" s="336"/>
      <c r="Q16" s="336"/>
      <c r="R16" s="336"/>
      <c r="S16" s="349"/>
      <c r="T16" s="335"/>
      <c r="U16" s="336"/>
      <c r="V16" s="336"/>
      <c r="W16" s="336"/>
      <c r="X16" s="336"/>
      <c r="Y16" s="336"/>
      <c r="Z16" s="349"/>
      <c r="AA16" s="335"/>
      <c r="AB16" s="336"/>
      <c r="AC16" s="336"/>
      <c r="AD16" s="336"/>
      <c r="AE16" s="336"/>
      <c r="AF16" s="336"/>
      <c r="AG16" s="349"/>
      <c r="AH16" s="2"/>
    </row>
    <row r="17" spans="1:34" s="1" customFormat="1">
      <c r="A17" s="2"/>
      <c r="B17" s="153"/>
      <c r="C17" s="155"/>
      <c r="D17" s="155"/>
      <c r="E17" s="155"/>
      <c r="F17" s="155"/>
      <c r="G17" s="155"/>
      <c r="H17" s="155"/>
      <c r="I17" s="155"/>
      <c r="J17" s="155"/>
      <c r="K17" s="155"/>
      <c r="L17" s="154"/>
      <c r="M17" s="335"/>
      <c r="N17" s="336"/>
      <c r="O17" s="336"/>
      <c r="P17" s="336"/>
      <c r="Q17" s="336"/>
      <c r="R17" s="336"/>
      <c r="S17" s="349"/>
      <c r="T17" s="335"/>
      <c r="U17" s="336"/>
      <c r="V17" s="336"/>
      <c r="W17" s="336"/>
      <c r="X17" s="336"/>
      <c r="Y17" s="336"/>
      <c r="Z17" s="349"/>
      <c r="AA17" s="335"/>
      <c r="AB17" s="336"/>
      <c r="AC17" s="336"/>
      <c r="AD17" s="336"/>
      <c r="AE17" s="336"/>
      <c r="AF17" s="336"/>
      <c r="AG17" s="349"/>
      <c r="AH17" s="2"/>
    </row>
    <row r="18" spans="1:34" s="1" customFormat="1">
      <c r="A18" s="2"/>
      <c r="B18" s="153"/>
      <c r="C18" s="155"/>
      <c r="D18" s="155"/>
      <c r="E18" s="155"/>
      <c r="F18" s="155"/>
      <c r="G18" s="155"/>
      <c r="H18" s="155"/>
      <c r="I18" s="155"/>
      <c r="J18" s="155"/>
      <c r="K18" s="155"/>
      <c r="L18" s="154"/>
      <c r="M18" s="335"/>
      <c r="N18" s="336"/>
      <c r="O18" s="336"/>
      <c r="P18" s="336"/>
      <c r="Q18" s="336"/>
      <c r="R18" s="336"/>
      <c r="S18" s="349"/>
      <c r="T18" s="335"/>
      <c r="U18" s="336"/>
      <c r="V18" s="336"/>
      <c r="W18" s="336"/>
      <c r="X18" s="336"/>
      <c r="Y18" s="336"/>
      <c r="Z18" s="349"/>
      <c r="AA18" s="335"/>
      <c r="AB18" s="336"/>
      <c r="AC18" s="336"/>
      <c r="AD18" s="336"/>
      <c r="AE18" s="336"/>
      <c r="AF18" s="336"/>
      <c r="AG18" s="349"/>
      <c r="AH18" s="2"/>
    </row>
    <row r="19" spans="1:34" s="1" customFormat="1">
      <c r="A19" s="2"/>
      <c r="B19" s="153"/>
      <c r="C19" s="155"/>
      <c r="D19" s="155"/>
      <c r="E19" s="155"/>
      <c r="F19" s="155"/>
      <c r="G19" s="155"/>
      <c r="H19" s="155"/>
      <c r="I19" s="155"/>
      <c r="J19" s="155"/>
      <c r="K19" s="155"/>
      <c r="L19" s="154"/>
      <c r="M19" s="355"/>
      <c r="N19" s="356"/>
      <c r="O19" s="356"/>
      <c r="P19" s="356"/>
      <c r="Q19" s="356"/>
      <c r="R19" s="356"/>
      <c r="S19" s="357"/>
      <c r="T19" s="355"/>
      <c r="U19" s="356"/>
      <c r="V19" s="356"/>
      <c r="W19" s="356"/>
      <c r="X19" s="356"/>
      <c r="Y19" s="356"/>
      <c r="Z19" s="357"/>
      <c r="AA19" s="355"/>
      <c r="AB19" s="356"/>
      <c r="AC19" s="356"/>
      <c r="AD19" s="356"/>
      <c r="AE19" s="356"/>
      <c r="AF19" s="356"/>
      <c r="AG19" s="357"/>
      <c r="AH19" s="2"/>
    </row>
    <row r="20" spans="1:34" s="1" customFormat="1">
      <c r="A20" s="2"/>
      <c r="B20" s="153"/>
      <c r="C20" s="155"/>
      <c r="D20" s="155"/>
      <c r="E20" s="155"/>
      <c r="F20" s="155"/>
      <c r="G20" s="155"/>
      <c r="H20" s="155"/>
      <c r="I20" s="155"/>
      <c r="J20" s="155"/>
      <c r="K20" s="155"/>
      <c r="L20" s="154"/>
      <c r="M20" s="345" t="s">
        <v>553</v>
      </c>
      <c r="N20" s="346"/>
      <c r="O20" s="346"/>
      <c r="P20" s="346"/>
      <c r="Q20" s="346"/>
      <c r="R20" s="346"/>
      <c r="S20" s="347"/>
      <c r="T20" s="345" t="s">
        <v>553</v>
      </c>
      <c r="U20" s="346"/>
      <c r="V20" s="346"/>
      <c r="W20" s="346"/>
      <c r="X20" s="346"/>
      <c r="Y20" s="346"/>
      <c r="Z20" s="347"/>
      <c r="AA20" s="345" t="s">
        <v>553</v>
      </c>
      <c r="AB20" s="346"/>
      <c r="AC20" s="346"/>
      <c r="AD20" s="346"/>
      <c r="AE20" s="346"/>
      <c r="AF20" s="346"/>
      <c r="AG20" s="347"/>
      <c r="AH20" s="2"/>
    </row>
    <row r="21" spans="1:34" s="1" customFormat="1">
      <c r="A21" s="2"/>
      <c r="B21" s="153"/>
      <c r="C21" s="155"/>
      <c r="D21" s="155"/>
      <c r="E21" s="155"/>
      <c r="F21" s="155"/>
      <c r="G21" s="155"/>
      <c r="H21" s="155"/>
      <c r="I21" s="155"/>
      <c r="J21" s="155"/>
      <c r="K21" s="155"/>
      <c r="L21" s="154"/>
      <c r="M21" s="333" t="s">
        <v>554</v>
      </c>
      <c r="N21" s="334"/>
      <c r="O21" s="334"/>
      <c r="P21" s="334"/>
      <c r="Q21" s="348"/>
      <c r="R21" s="351" t="s">
        <v>555</v>
      </c>
      <c r="S21" s="352"/>
      <c r="T21" s="333" t="s">
        <v>554</v>
      </c>
      <c r="U21" s="334"/>
      <c r="V21" s="334"/>
      <c r="W21" s="334"/>
      <c r="X21" s="348"/>
      <c r="Y21" s="351" t="s">
        <v>555</v>
      </c>
      <c r="Z21" s="352"/>
      <c r="AA21" s="333" t="s">
        <v>554</v>
      </c>
      <c r="AB21" s="334"/>
      <c r="AC21" s="334"/>
      <c r="AD21" s="334"/>
      <c r="AE21" s="348"/>
      <c r="AF21" s="351" t="s">
        <v>555</v>
      </c>
      <c r="AG21" s="352"/>
      <c r="AH21" s="2"/>
    </row>
    <row r="22" spans="1:34" s="1" customFormat="1">
      <c r="A22" s="2"/>
      <c r="B22" s="153"/>
      <c r="C22" s="155"/>
      <c r="D22" s="155"/>
      <c r="E22" s="155"/>
      <c r="F22" s="155"/>
      <c r="G22" s="155"/>
      <c r="H22" s="155"/>
      <c r="I22" s="155"/>
      <c r="J22" s="155"/>
      <c r="K22" s="155"/>
      <c r="L22" s="154"/>
      <c r="M22" s="335"/>
      <c r="N22" s="336"/>
      <c r="O22" s="336"/>
      <c r="P22" s="336"/>
      <c r="Q22" s="349"/>
      <c r="R22" s="353"/>
      <c r="S22" s="354"/>
      <c r="T22" s="335"/>
      <c r="U22" s="336"/>
      <c r="V22" s="336"/>
      <c r="W22" s="336"/>
      <c r="X22" s="349"/>
      <c r="Y22" s="353"/>
      <c r="Z22" s="354"/>
      <c r="AA22" s="335"/>
      <c r="AB22" s="336"/>
      <c r="AC22" s="336"/>
      <c r="AD22" s="336"/>
      <c r="AE22" s="349"/>
      <c r="AF22" s="353"/>
      <c r="AG22" s="354"/>
      <c r="AH22" s="2"/>
    </row>
    <row r="23" spans="1:34" s="1" customFormat="1">
      <c r="A23" s="2"/>
      <c r="B23" s="153"/>
      <c r="C23" s="155"/>
      <c r="D23" s="155"/>
      <c r="E23" s="155"/>
      <c r="F23" s="155"/>
      <c r="G23" s="155"/>
      <c r="H23" s="155"/>
      <c r="I23" s="155"/>
      <c r="J23" s="155"/>
      <c r="K23" s="155"/>
      <c r="L23" s="154"/>
      <c r="M23" s="335"/>
      <c r="N23" s="336"/>
      <c r="O23" s="336"/>
      <c r="P23" s="336"/>
      <c r="Q23" s="349"/>
      <c r="R23" s="333" t="s">
        <v>554</v>
      </c>
      <c r="S23" s="334"/>
      <c r="T23" s="335"/>
      <c r="U23" s="336"/>
      <c r="V23" s="336"/>
      <c r="W23" s="336"/>
      <c r="X23" s="349"/>
      <c r="Y23" s="333" t="s">
        <v>554</v>
      </c>
      <c r="Z23" s="334"/>
      <c r="AA23" s="335"/>
      <c r="AB23" s="336"/>
      <c r="AC23" s="336"/>
      <c r="AD23" s="336"/>
      <c r="AE23" s="349"/>
      <c r="AF23" s="339" t="s">
        <v>554</v>
      </c>
      <c r="AG23" s="340"/>
      <c r="AH23" s="2"/>
    </row>
    <row r="24" spans="1:34" s="1" customFormat="1">
      <c r="A24" s="2"/>
      <c r="B24" s="153"/>
      <c r="C24" s="155"/>
      <c r="D24" s="155"/>
      <c r="E24" s="155"/>
      <c r="F24" s="155"/>
      <c r="G24" s="155"/>
      <c r="H24" s="155"/>
      <c r="I24" s="155"/>
      <c r="J24" s="155"/>
      <c r="K24" s="155"/>
      <c r="L24" s="154"/>
      <c r="M24" s="335"/>
      <c r="N24" s="336"/>
      <c r="O24" s="336"/>
      <c r="P24" s="336"/>
      <c r="Q24" s="349"/>
      <c r="R24" s="335"/>
      <c r="S24" s="336"/>
      <c r="T24" s="335"/>
      <c r="U24" s="336"/>
      <c r="V24" s="336"/>
      <c r="W24" s="336"/>
      <c r="X24" s="349"/>
      <c r="Y24" s="335"/>
      <c r="Z24" s="336"/>
      <c r="AA24" s="335"/>
      <c r="AB24" s="336"/>
      <c r="AC24" s="336"/>
      <c r="AD24" s="336"/>
      <c r="AE24" s="349"/>
      <c r="AF24" s="341"/>
      <c r="AG24" s="342"/>
      <c r="AH24" s="2"/>
    </row>
    <row r="25" spans="1:34" s="1" customFormat="1" ht="13.5" thickBot="1">
      <c r="A25" s="2"/>
      <c r="B25" s="153"/>
      <c r="C25" s="155"/>
      <c r="D25" s="155"/>
      <c r="E25" s="155"/>
      <c r="F25" s="155"/>
      <c r="G25" s="155"/>
      <c r="H25" s="155"/>
      <c r="I25" s="155"/>
      <c r="J25" s="155"/>
      <c r="K25" s="155"/>
      <c r="L25" s="154"/>
      <c r="M25" s="337"/>
      <c r="N25" s="338"/>
      <c r="O25" s="338"/>
      <c r="P25" s="338"/>
      <c r="Q25" s="350"/>
      <c r="R25" s="337"/>
      <c r="S25" s="338"/>
      <c r="T25" s="337"/>
      <c r="U25" s="338"/>
      <c r="V25" s="338"/>
      <c r="W25" s="338"/>
      <c r="X25" s="350"/>
      <c r="Y25" s="337"/>
      <c r="Z25" s="338"/>
      <c r="AA25" s="337"/>
      <c r="AB25" s="338"/>
      <c r="AC25" s="338"/>
      <c r="AD25" s="338"/>
      <c r="AE25" s="350"/>
      <c r="AF25" s="343"/>
      <c r="AG25" s="344"/>
      <c r="AH25" s="2"/>
    </row>
    <row r="26" spans="1:34">
      <c r="A26" s="2"/>
      <c r="B26" s="318" t="s">
        <v>556</v>
      </c>
      <c r="C26" s="319"/>
      <c r="D26" s="319"/>
      <c r="E26" s="319"/>
      <c r="F26" s="319"/>
      <c r="G26" s="319"/>
      <c r="H26" s="319"/>
      <c r="I26" s="319"/>
      <c r="J26" s="319"/>
      <c r="K26" s="319"/>
      <c r="L26" s="320"/>
      <c r="M26" s="330" t="s">
        <v>546</v>
      </c>
      <c r="N26" s="331"/>
      <c r="O26" s="331"/>
      <c r="P26" s="331"/>
      <c r="Q26" s="331"/>
      <c r="R26" s="331"/>
      <c r="S26" s="332"/>
      <c r="T26" s="330" t="s">
        <v>546</v>
      </c>
      <c r="U26" s="331"/>
      <c r="V26" s="331"/>
      <c r="W26" s="331"/>
      <c r="X26" s="331"/>
      <c r="Y26" s="331"/>
      <c r="Z26" s="332"/>
      <c r="AA26" s="330" t="s">
        <v>546</v>
      </c>
      <c r="AB26" s="331"/>
      <c r="AC26" s="331"/>
      <c r="AD26" s="331"/>
      <c r="AE26" s="331"/>
      <c r="AF26" s="358"/>
      <c r="AG26" s="359"/>
      <c r="AH26" s="2"/>
    </row>
    <row r="27" spans="1:34" ht="13.9" customHeight="1">
      <c r="A27" s="2"/>
      <c r="B27" s="321"/>
      <c r="C27" s="322"/>
      <c r="D27" s="322"/>
      <c r="E27" s="322"/>
      <c r="F27" s="322"/>
      <c r="G27" s="322"/>
      <c r="H27" s="322"/>
      <c r="I27" s="322"/>
      <c r="J27" s="322"/>
      <c r="K27" s="322"/>
      <c r="L27" s="323"/>
      <c r="M27" s="324" t="s">
        <v>547</v>
      </c>
      <c r="N27" s="325"/>
      <c r="O27" s="325"/>
      <c r="P27" s="325"/>
      <c r="Q27" s="325"/>
      <c r="R27" s="325"/>
      <c r="S27" s="326"/>
      <c r="T27" s="324" t="s">
        <v>548</v>
      </c>
      <c r="U27" s="325"/>
      <c r="V27" s="325"/>
      <c r="W27" s="325"/>
      <c r="X27" s="325"/>
      <c r="Y27" s="325"/>
      <c r="Z27" s="326"/>
      <c r="AA27" s="324" t="s">
        <v>549</v>
      </c>
      <c r="AB27" s="325"/>
      <c r="AC27" s="325"/>
      <c r="AD27" s="325"/>
      <c r="AE27" s="325"/>
      <c r="AF27" s="325"/>
      <c r="AG27" s="326"/>
      <c r="AH27" s="2"/>
    </row>
    <row r="28" spans="1:34">
      <c r="A28" s="2"/>
      <c r="B28" s="150"/>
      <c r="C28" s="151"/>
      <c r="D28" s="151"/>
      <c r="E28" s="151"/>
      <c r="F28" s="151"/>
      <c r="G28" s="151"/>
      <c r="H28" s="151"/>
      <c r="I28" s="151"/>
      <c r="J28" s="151"/>
      <c r="K28" s="151"/>
      <c r="L28" s="152"/>
      <c r="M28" s="333" t="s">
        <v>557</v>
      </c>
      <c r="N28" s="334"/>
      <c r="O28" s="334"/>
      <c r="P28" s="334"/>
      <c r="Q28" s="334"/>
      <c r="R28" s="334"/>
      <c r="S28" s="348"/>
      <c r="T28" s="333" t="s">
        <v>558</v>
      </c>
      <c r="U28" s="334"/>
      <c r="V28" s="334"/>
      <c r="W28" s="334"/>
      <c r="X28" s="334"/>
      <c r="Y28" s="334"/>
      <c r="Z28" s="348"/>
      <c r="AA28" s="333" t="s">
        <v>559</v>
      </c>
      <c r="AB28" s="334"/>
      <c r="AC28" s="334"/>
      <c r="AD28" s="334"/>
      <c r="AE28" s="334"/>
      <c r="AF28" s="334"/>
      <c r="AG28" s="348"/>
      <c r="AH28" s="2"/>
    </row>
    <row r="29" spans="1:34">
      <c r="A29" s="2"/>
      <c r="B29" s="153"/>
      <c r="C29" s="155"/>
      <c r="D29" s="155"/>
      <c r="E29" s="155"/>
      <c r="F29" s="155"/>
      <c r="G29" s="155"/>
      <c r="H29" s="155"/>
      <c r="I29" s="155"/>
      <c r="J29" s="155"/>
      <c r="K29" s="155"/>
      <c r="L29" s="154"/>
      <c r="M29" s="335"/>
      <c r="N29" s="336"/>
      <c r="O29" s="336"/>
      <c r="P29" s="336"/>
      <c r="Q29" s="336"/>
      <c r="R29" s="336"/>
      <c r="S29" s="349"/>
      <c r="T29" s="335"/>
      <c r="U29" s="336"/>
      <c r="V29" s="336"/>
      <c r="W29" s="336"/>
      <c r="X29" s="336"/>
      <c r="Y29" s="336"/>
      <c r="Z29" s="349"/>
      <c r="AA29" s="335"/>
      <c r="AB29" s="336"/>
      <c r="AC29" s="336"/>
      <c r="AD29" s="336"/>
      <c r="AE29" s="336"/>
      <c r="AF29" s="336"/>
      <c r="AG29" s="349"/>
      <c r="AH29" s="2"/>
    </row>
    <row r="30" spans="1:34">
      <c r="A30" s="2"/>
      <c r="B30" s="153"/>
      <c r="C30" s="155"/>
      <c r="D30" s="155"/>
      <c r="E30" s="155"/>
      <c r="F30" s="155"/>
      <c r="G30" s="155"/>
      <c r="H30" s="155"/>
      <c r="I30" s="155"/>
      <c r="J30" s="155"/>
      <c r="K30" s="155"/>
      <c r="L30" s="154"/>
      <c r="M30" s="335"/>
      <c r="N30" s="336"/>
      <c r="O30" s="336"/>
      <c r="P30" s="336"/>
      <c r="Q30" s="336"/>
      <c r="R30" s="336"/>
      <c r="S30" s="349"/>
      <c r="T30" s="335"/>
      <c r="U30" s="336"/>
      <c r="V30" s="336"/>
      <c r="W30" s="336"/>
      <c r="X30" s="336"/>
      <c r="Y30" s="336"/>
      <c r="Z30" s="349"/>
      <c r="AA30" s="335"/>
      <c r="AB30" s="336"/>
      <c r="AC30" s="336"/>
      <c r="AD30" s="336"/>
      <c r="AE30" s="336"/>
      <c r="AF30" s="336"/>
      <c r="AG30" s="349"/>
      <c r="AH30" s="2"/>
    </row>
    <row r="31" spans="1:34">
      <c r="A31" s="2"/>
      <c r="B31" s="153"/>
      <c r="C31" s="155"/>
      <c r="D31" s="155"/>
      <c r="E31" s="155"/>
      <c r="F31" s="155"/>
      <c r="G31" s="155"/>
      <c r="H31" s="155"/>
      <c r="I31" s="155"/>
      <c r="J31" s="155"/>
      <c r="K31" s="155"/>
      <c r="L31" s="154"/>
      <c r="M31" s="335"/>
      <c r="N31" s="336"/>
      <c r="O31" s="336"/>
      <c r="P31" s="336"/>
      <c r="Q31" s="336"/>
      <c r="R31" s="336"/>
      <c r="S31" s="349"/>
      <c r="T31" s="335"/>
      <c r="U31" s="336"/>
      <c r="V31" s="336"/>
      <c r="W31" s="336"/>
      <c r="X31" s="336"/>
      <c r="Y31" s="336"/>
      <c r="Z31" s="349"/>
      <c r="AA31" s="335"/>
      <c r="AB31" s="336"/>
      <c r="AC31" s="336"/>
      <c r="AD31" s="336"/>
      <c r="AE31" s="336"/>
      <c r="AF31" s="336"/>
      <c r="AG31" s="349"/>
      <c r="AH31" s="2"/>
    </row>
    <row r="32" spans="1:34">
      <c r="A32" s="2"/>
      <c r="B32" s="153"/>
      <c r="C32" s="155"/>
      <c r="D32" s="155"/>
      <c r="E32" s="155"/>
      <c r="F32" s="155"/>
      <c r="G32" s="155"/>
      <c r="H32" s="155"/>
      <c r="I32" s="155"/>
      <c r="J32" s="155"/>
      <c r="K32" s="155"/>
      <c r="L32" s="154"/>
      <c r="M32" s="335"/>
      <c r="N32" s="336"/>
      <c r="O32" s="336"/>
      <c r="P32" s="336"/>
      <c r="Q32" s="336"/>
      <c r="R32" s="336"/>
      <c r="S32" s="349"/>
      <c r="T32" s="335"/>
      <c r="U32" s="336"/>
      <c r="V32" s="336"/>
      <c r="W32" s="336"/>
      <c r="X32" s="336"/>
      <c r="Y32" s="336"/>
      <c r="Z32" s="349"/>
      <c r="AA32" s="335"/>
      <c r="AB32" s="336"/>
      <c r="AC32" s="336"/>
      <c r="AD32" s="336"/>
      <c r="AE32" s="336"/>
      <c r="AF32" s="336"/>
      <c r="AG32" s="349"/>
      <c r="AH32" s="2"/>
    </row>
    <row r="33" spans="1:34">
      <c r="A33" s="2"/>
      <c r="B33" s="153"/>
      <c r="C33" s="155"/>
      <c r="D33" s="155"/>
      <c r="E33" s="155"/>
      <c r="F33" s="155"/>
      <c r="G33" s="155"/>
      <c r="H33" s="155"/>
      <c r="I33" s="155"/>
      <c r="J33" s="155"/>
      <c r="K33" s="155"/>
      <c r="L33" s="154"/>
      <c r="M33" s="335"/>
      <c r="N33" s="336"/>
      <c r="O33" s="336"/>
      <c r="P33" s="336"/>
      <c r="Q33" s="336"/>
      <c r="R33" s="336"/>
      <c r="S33" s="349"/>
      <c r="T33" s="335"/>
      <c r="U33" s="336"/>
      <c r="V33" s="336"/>
      <c r="W33" s="336"/>
      <c r="X33" s="336"/>
      <c r="Y33" s="336"/>
      <c r="Z33" s="349"/>
      <c r="AA33" s="335"/>
      <c r="AB33" s="336"/>
      <c r="AC33" s="336"/>
      <c r="AD33" s="336"/>
      <c r="AE33" s="336"/>
      <c r="AF33" s="336"/>
      <c r="AG33" s="349"/>
      <c r="AH33" s="2"/>
    </row>
    <row r="34" spans="1:34">
      <c r="A34" s="2"/>
      <c r="B34" s="153"/>
      <c r="C34" s="155"/>
      <c r="D34" s="155"/>
      <c r="E34" s="155"/>
      <c r="F34" s="155"/>
      <c r="G34" s="155"/>
      <c r="H34" s="155"/>
      <c r="I34" s="155"/>
      <c r="J34" s="155"/>
      <c r="K34" s="155"/>
      <c r="L34" s="154"/>
      <c r="M34" s="335"/>
      <c r="N34" s="336"/>
      <c r="O34" s="336"/>
      <c r="P34" s="336"/>
      <c r="Q34" s="336"/>
      <c r="R34" s="336"/>
      <c r="S34" s="349"/>
      <c r="T34" s="335"/>
      <c r="U34" s="336"/>
      <c r="V34" s="336"/>
      <c r="W34" s="336"/>
      <c r="X34" s="336"/>
      <c r="Y34" s="336"/>
      <c r="Z34" s="349"/>
      <c r="AA34" s="335"/>
      <c r="AB34" s="336"/>
      <c r="AC34" s="336"/>
      <c r="AD34" s="336"/>
      <c r="AE34" s="336"/>
      <c r="AF34" s="336"/>
      <c r="AG34" s="349"/>
      <c r="AH34" s="2"/>
    </row>
    <row r="35" spans="1:34">
      <c r="A35" s="2"/>
      <c r="B35" s="153"/>
      <c r="C35" s="155"/>
      <c r="D35" s="155"/>
      <c r="E35" s="155"/>
      <c r="F35" s="155"/>
      <c r="G35" s="155"/>
      <c r="H35" s="155"/>
      <c r="I35" s="155"/>
      <c r="J35" s="155"/>
      <c r="K35" s="155"/>
      <c r="L35" s="154"/>
      <c r="M35" s="335"/>
      <c r="N35" s="336"/>
      <c r="O35" s="336"/>
      <c r="P35" s="336"/>
      <c r="Q35" s="336"/>
      <c r="R35" s="336"/>
      <c r="S35" s="349"/>
      <c r="T35" s="335"/>
      <c r="U35" s="336"/>
      <c r="V35" s="336"/>
      <c r="W35" s="336"/>
      <c r="X35" s="336"/>
      <c r="Y35" s="336"/>
      <c r="Z35" s="349"/>
      <c r="AA35" s="335"/>
      <c r="AB35" s="336"/>
      <c r="AC35" s="336"/>
      <c r="AD35" s="336"/>
      <c r="AE35" s="336"/>
      <c r="AF35" s="336"/>
      <c r="AG35" s="349"/>
      <c r="AH35" s="2"/>
    </row>
    <row r="36" spans="1:34">
      <c r="A36" s="2"/>
      <c r="B36" s="153"/>
      <c r="C36" s="155"/>
      <c r="D36" s="155"/>
      <c r="E36" s="155"/>
      <c r="F36" s="155"/>
      <c r="G36" s="155"/>
      <c r="H36" s="155"/>
      <c r="I36" s="155"/>
      <c r="J36" s="155"/>
      <c r="K36" s="155"/>
      <c r="L36" s="154"/>
      <c r="M36" s="335"/>
      <c r="N36" s="336"/>
      <c r="O36" s="336"/>
      <c r="P36" s="336"/>
      <c r="Q36" s="336"/>
      <c r="R36" s="336"/>
      <c r="S36" s="349"/>
      <c r="T36" s="335"/>
      <c r="U36" s="336"/>
      <c r="V36" s="336"/>
      <c r="W36" s="336"/>
      <c r="X36" s="336"/>
      <c r="Y36" s="336"/>
      <c r="Z36" s="349"/>
      <c r="AA36" s="335"/>
      <c r="AB36" s="336"/>
      <c r="AC36" s="336"/>
      <c r="AD36" s="336"/>
      <c r="AE36" s="336"/>
      <c r="AF36" s="336"/>
      <c r="AG36" s="349"/>
      <c r="AH36" s="2"/>
    </row>
    <row r="37" spans="1:34">
      <c r="A37" s="2"/>
      <c r="B37" s="153"/>
      <c r="C37" s="155"/>
      <c r="D37" s="155"/>
      <c r="E37" s="155"/>
      <c r="F37" s="155"/>
      <c r="G37" s="155"/>
      <c r="H37" s="155"/>
      <c r="I37" s="155"/>
      <c r="J37" s="155"/>
      <c r="K37" s="155"/>
      <c r="L37" s="154"/>
      <c r="M37" s="335"/>
      <c r="N37" s="336"/>
      <c r="O37" s="336"/>
      <c r="P37" s="336"/>
      <c r="Q37" s="336"/>
      <c r="R37" s="336"/>
      <c r="S37" s="349"/>
      <c r="T37" s="335"/>
      <c r="U37" s="336"/>
      <c r="V37" s="336"/>
      <c r="W37" s="336"/>
      <c r="X37" s="336"/>
      <c r="Y37" s="336"/>
      <c r="Z37" s="349"/>
      <c r="AA37" s="335"/>
      <c r="AB37" s="336"/>
      <c r="AC37" s="336"/>
      <c r="AD37" s="336"/>
      <c r="AE37" s="336"/>
      <c r="AF37" s="336"/>
      <c r="AG37" s="349"/>
      <c r="AH37" s="2"/>
    </row>
    <row r="38" spans="1:34">
      <c r="A38" s="2"/>
      <c r="B38" s="153"/>
      <c r="C38" s="155"/>
      <c r="D38" s="155"/>
      <c r="E38" s="155"/>
      <c r="F38" s="155"/>
      <c r="G38" s="155"/>
      <c r="H38" s="155"/>
      <c r="I38" s="155"/>
      <c r="J38" s="155"/>
      <c r="K38" s="155"/>
      <c r="L38" s="154"/>
      <c r="M38" s="355"/>
      <c r="N38" s="356"/>
      <c r="O38" s="356"/>
      <c r="P38" s="356"/>
      <c r="Q38" s="356"/>
      <c r="R38" s="356"/>
      <c r="S38" s="357"/>
      <c r="T38" s="355"/>
      <c r="U38" s="356"/>
      <c r="V38" s="356"/>
      <c r="W38" s="356"/>
      <c r="X38" s="356"/>
      <c r="Y38" s="356"/>
      <c r="Z38" s="357"/>
      <c r="AA38" s="355"/>
      <c r="AB38" s="356"/>
      <c r="AC38" s="356"/>
      <c r="AD38" s="356"/>
      <c r="AE38" s="356"/>
      <c r="AF38" s="356"/>
      <c r="AG38" s="357"/>
      <c r="AH38" s="2"/>
    </row>
    <row r="39" spans="1:34">
      <c r="A39" s="2"/>
      <c r="B39" s="153"/>
      <c r="C39" s="155"/>
      <c r="D39" s="155"/>
      <c r="E39" s="155"/>
      <c r="F39" s="155"/>
      <c r="G39" s="155"/>
      <c r="H39" s="155"/>
      <c r="I39" s="155"/>
      <c r="J39" s="155"/>
      <c r="K39" s="155"/>
      <c r="L39" s="154"/>
      <c r="M39" s="345" t="s">
        <v>553</v>
      </c>
      <c r="N39" s="346"/>
      <c r="O39" s="346"/>
      <c r="P39" s="346"/>
      <c r="Q39" s="346"/>
      <c r="R39" s="346"/>
      <c r="S39" s="347"/>
      <c r="T39" s="345" t="s">
        <v>553</v>
      </c>
      <c r="U39" s="346"/>
      <c r="V39" s="346"/>
      <c r="W39" s="346"/>
      <c r="X39" s="346"/>
      <c r="Y39" s="346"/>
      <c r="Z39" s="347"/>
      <c r="AA39" s="345" t="s">
        <v>553</v>
      </c>
      <c r="AB39" s="346"/>
      <c r="AC39" s="346"/>
      <c r="AD39" s="346"/>
      <c r="AE39" s="346"/>
      <c r="AF39" s="346"/>
      <c r="AG39" s="347"/>
      <c r="AH39" s="2"/>
    </row>
    <row r="40" spans="1:34">
      <c r="A40" s="2"/>
      <c r="B40" s="153"/>
      <c r="C40" s="155"/>
      <c r="D40" s="155"/>
      <c r="E40" s="155"/>
      <c r="F40" s="155"/>
      <c r="G40" s="155"/>
      <c r="H40" s="155"/>
      <c r="I40" s="155"/>
      <c r="J40" s="155"/>
      <c r="K40" s="155"/>
      <c r="L40" s="154"/>
      <c r="M40" s="333" t="s">
        <v>554</v>
      </c>
      <c r="N40" s="334"/>
      <c r="O40" s="334"/>
      <c r="P40" s="334"/>
      <c r="Q40" s="348"/>
      <c r="R40" s="351" t="s">
        <v>555</v>
      </c>
      <c r="S40" s="352"/>
      <c r="T40" s="333" t="s">
        <v>554</v>
      </c>
      <c r="U40" s="334"/>
      <c r="V40" s="334"/>
      <c r="W40" s="334"/>
      <c r="X40" s="348"/>
      <c r="Y40" s="351" t="s">
        <v>555</v>
      </c>
      <c r="Z40" s="352"/>
      <c r="AA40" s="333" t="s">
        <v>554</v>
      </c>
      <c r="AB40" s="334"/>
      <c r="AC40" s="334"/>
      <c r="AD40" s="334"/>
      <c r="AE40" s="348"/>
      <c r="AF40" s="351" t="s">
        <v>555</v>
      </c>
      <c r="AG40" s="352"/>
      <c r="AH40" s="2"/>
    </row>
    <row r="41" spans="1:34">
      <c r="A41" s="2"/>
      <c r="B41" s="153"/>
      <c r="C41" s="155"/>
      <c r="D41" s="155"/>
      <c r="E41" s="155"/>
      <c r="F41" s="155"/>
      <c r="G41" s="155"/>
      <c r="H41" s="155"/>
      <c r="I41" s="155"/>
      <c r="J41" s="155"/>
      <c r="K41" s="155"/>
      <c r="L41" s="154"/>
      <c r="M41" s="335"/>
      <c r="N41" s="336"/>
      <c r="O41" s="336"/>
      <c r="P41" s="336"/>
      <c r="Q41" s="349"/>
      <c r="R41" s="353"/>
      <c r="S41" s="354"/>
      <c r="T41" s="335"/>
      <c r="U41" s="336"/>
      <c r="V41" s="336"/>
      <c r="W41" s="336"/>
      <c r="X41" s="349"/>
      <c r="Y41" s="353"/>
      <c r="Z41" s="354"/>
      <c r="AA41" s="335"/>
      <c r="AB41" s="336"/>
      <c r="AC41" s="336"/>
      <c r="AD41" s="336"/>
      <c r="AE41" s="349"/>
      <c r="AF41" s="353"/>
      <c r="AG41" s="354"/>
      <c r="AH41" s="2"/>
    </row>
    <row r="42" spans="1:34">
      <c r="A42" s="2"/>
      <c r="B42" s="153"/>
      <c r="C42" s="155"/>
      <c r="D42" s="155"/>
      <c r="E42" s="155"/>
      <c r="F42" s="155"/>
      <c r="G42" s="155"/>
      <c r="H42" s="155"/>
      <c r="I42" s="155"/>
      <c r="J42" s="155"/>
      <c r="K42" s="155"/>
      <c r="L42" s="154"/>
      <c r="M42" s="335"/>
      <c r="N42" s="336"/>
      <c r="O42" s="336"/>
      <c r="P42" s="336"/>
      <c r="Q42" s="349"/>
      <c r="R42" s="333" t="s">
        <v>554</v>
      </c>
      <c r="S42" s="334"/>
      <c r="T42" s="335"/>
      <c r="U42" s="336"/>
      <c r="V42" s="336"/>
      <c r="W42" s="336"/>
      <c r="X42" s="349"/>
      <c r="Y42" s="333" t="s">
        <v>554</v>
      </c>
      <c r="Z42" s="334"/>
      <c r="AA42" s="335"/>
      <c r="AB42" s="336"/>
      <c r="AC42" s="336"/>
      <c r="AD42" s="336"/>
      <c r="AE42" s="349"/>
      <c r="AF42" s="339" t="s">
        <v>554</v>
      </c>
      <c r="AG42" s="340"/>
      <c r="AH42" s="2"/>
    </row>
    <row r="43" spans="1:34">
      <c r="A43" s="2"/>
      <c r="B43" s="153"/>
      <c r="C43" s="155"/>
      <c r="D43" s="155"/>
      <c r="E43" s="155"/>
      <c r="F43" s="155"/>
      <c r="G43" s="155"/>
      <c r="H43" s="155"/>
      <c r="I43" s="155"/>
      <c r="J43" s="155"/>
      <c r="K43" s="155"/>
      <c r="L43" s="154"/>
      <c r="M43" s="335"/>
      <c r="N43" s="336"/>
      <c r="O43" s="336"/>
      <c r="P43" s="336"/>
      <c r="Q43" s="349"/>
      <c r="R43" s="335"/>
      <c r="S43" s="336"/>
      <c r="T43" s="335"/>
      <c r="U43" s="336"/>
      <c r="V43" s="336"/>
      <c r="W43" s="336"/>
      <c r="X43" s="349"/>
      <c r="Y43" s="335"/>
      <c r="Z43" s="336"/>
      <c r="AA43" s="335"/>
      <c r="AB43" s="336"/>
      <c r="AC43" s="336"/>
      <c r="AD43" s="336"/>
      <c r="AE43" s="349"/>
      <c r="AF43" s="341"/>
      <c r="AG43" s="342"/>
      <c r="AH43" s="2"/>
    </row>
    <row r="44" spans="1:34">
      <c r="A44" s="2"/>
      <c r="B44" s="266"/>
      <c r="C44" s="267"/>
      <c r="D44" s="267"/>
      <c r="E44" s="267"/>
      <c r="F44" s="267"/>
      <c r="G44" s="267"/>
      <c r="H44" s="267"/>
      <c r="I44" s="267"/>
      <c r="J44" s="267"/>
      <c r="K44" s="267"/>
      <c r="L44" s="268"/>
      <c r="M44" s="355"/>
      <c r="N44" s="356"/>
      <c r="O44" s="356"/>
      <c r="P44" s="356"/>
      <c r="Q44" s="357"/>
      <c r="R44" s="355"/>
      <c r="S44" s="356"/>
      <c r="T44" s="355"/>
      <c r="U44" s="356"/>
      <c r="V44" s="356"/>
      <c r="W44" s="356"/>
      <c r="X44" s="357"/>
      <c r="Y44" s="355"/>
      <c r="Z44" s="356"/>
      <c r="AA44" s="355"/>
      <c r="AB44" s="356"/>
      <c r="AC44" s="356"/>
      <c r="AD44" s="356"/>
      <c r="AE44" s="357"/>
      <c r="AF44" s="343"/>
      <c r="AG44" s="344"/>
      <c r="AH44" s="2"/>
    </row>
    <row r="45" spans="1:34">
      <c r="A45" s="2"/>
      <c r="B45" s="2"/>
      <c r="C45" s="2"/>
      <c r="D45" s="2"/>
      <c r="E45" s="3"/>
      <c r="F45" s="2"/>
      <c r="G45" s="2"/>
      <c r="H45" s="2"/>
      <c r="I45" s="3"/>
      <c r="J45" s="2"/>
      <c r="K45" s="2"/>
      <c r="L45" s="2"/>
      <c r="M45" s="3"/>
      <c r="N45" s="2"/>
      <c r="O45" s="2"/>
      <c r="P45" s="2"/>
      <c r="Q45" s="3"/>
      <c r="R45" s="2"/>
      <c r="S45" s="2"/>
      <c r="T45" s="2"/>
      <c r="U45" s="3"/>
      <c r="V45" s="2"/>
      <c r="W45" s="2"/>
      <c r="X45" s="2"/>
      <c r="Y45" s="3"/>
      <c r="Z45" s="2"/>
      <c r="AA45" s="2"/>
      <c r="AB45" s="2"/>
      <c r="AC45" s="3"/>
      <c r="AD45" s="2"/>
      <c r="AE45" s="2"/>
      <c r="AF45" s="2"/>
      <c r="AG45" s="3"/>
      <c r="AH45" s="2"/>
    </row>
  </sheetData>
  <mergeCells count="46">
    <mergeCell ref="R42:S44"/>
    <mergeCell ref="Y42:Z44"/>
    <mergeCell ref="AF42:AG44"/>
    <mergeCell ref="M40:Q44"/>
    <mergeCell ref="R40:S41"/>
    <mergeCell ref="T40:X44"/>
    <mergeCell ref="Y40:Z41"/>
    <mergeCell ref="AA40:AE44"/>
    <mergeCell ref="AF40:AG41"/>
    <mergeCell ref="M28:S38"/>
    <mergeCell ref="T28:Z38"/>
    <mergeCell ref="AA28:AG38"/>
    <mergeCell ref="M39:S39"/>
    <mergeCell ref="T39:Z39"/>
    <mergeCell ref="AA39:AG39"/>
    <mergeCell ref="B26:L27"/>
    <mergeCell ref="M26:S26"/>
    <mergeCell ref="T26:Z26"/>
    <mergeCell ref="AA26:AG26"/>
    <mergeCell ref="M27:S27"/>
    <mergeCell ref="T27:Z27"/>
    <mergeCell ref="AA27:AG27"/>
    <mergeCell ref="M9:S19"/>
    <mergeCell ref="T9:Z19"/>
    <mergeCell ref="AA9:AG19"/>
    <mergeCell ref="M21:Q25"/>
    <mergeCell ref="R21:S22"/>
    <mergeCell ref="T21:X25"/>
    <mergeCell ref="Y21:Z22"/>
    <mergeCell ref="R23:S25"/>
    <mergeCell ref="Y23:Z25"/>
    <mergeCell ref="AF23:AG25"/>
    <mergeCell ref="M20:S20"/>
    <mergeCell ref="T20:Z20"/>
    <mergeCell ref="AA20:AG20"/>
    <mergeCell ref="AA21:AE25"/>
    <mergeCell ref="AF21:AG22"/>
    <mergeCell ref="B5:L5"/>
    <mergeCell ref="B7:L8"/>
    <mergeCell ref="M8:S8"/>
    <mergeCell ref="T8:Z8"/>
    <mergeCell ref="AA8:AG8"/>
    <mergeCell ref="M2:S5"/>
    <mergeCell ref="M7:S7"/>
    <mergeCell ref="T7:Z7"/>
    <mergeCell ref="AA7:AG7"/>
  </mergeCells>
  <pageMargins left="0.7" right="0.7" top="0.75" bottom="0.75" header="0.3" footer="0.3"/>
  <pageSetup paperSize="9" orientation="portrait" verticalDpi="599"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52"/>
  <sheetViews>
    <sheetView topLeftCell="A13" workbookViewId="0">
      <selection activeCell="J27" sqref="J27"/>
    </sheetView>
  </sheetViews>
  <sheetFormatPr defaultRowHeight="12.75"/>
  <cols>
    <col min="1" max="1" width="16.85546875" customWidth="1"/>
    <col min="2" max="2" width="15.7109375" customWidth="1"/>
    <col min="3" max="3" width="16.5703125" customWidth="1"/>
    <col min="4" max="9" width="11.42578125" customWidth="1"/>
    <col min="10" max="10" width="22.5703125" customWidth="1"/>
    <col min="11" max="256" width="11.42578125" customWidth="1"/>
  </cols>
  <sheetData>
    <row r="1" spans="1:12" ht="17.25" customHeight="1">
      <c r="A1" s="360" t="s">
        <v>560</v>
      </c>
      <c r="B1" s="361"/>
      <c r="C1" s="362"/>
    </row>
    <row r="2" spans="1:12" ht="39" customHeight="1">
      <c r="A2" s="162" t="s">
        <v>561</v>
      </c>
      <c r="B2" s="162" t="s">
        <v>562</v>
      </c>
      <c r="C2" s="162" t="s">
        <v>563</v>
      </c>
      <c r="J2" s="165" t="s">
        <v>564</v>
      </c>
      <c r="K2" s="178">
        <f>23+23</f>
        <v>46</v>
      </c>
      <c r="L2" s="185">
        <f>K2/173</f>
        <v>0.26589595375722541</v>
      </c>
    </row>
    <row r="3" spans="1:12">
      <c r="A3" s="156">
        <v>173</v>
      </c>
      <c r="B3" s="156">
        <v>106</v>
      </c>
      <c r="C3" s="156">
        <v>2907</v>
      </c>
      <c r="J3" s="165" t="s">
        <v>565</v>
      </c>
      <c r="K3" s="178">
        <f>8+5+8</f>
        <v>21</v>
      </c>
      <c r="L3" s="185">
        <f t="shared" ref="L3:L20" si="0">K3/173</f>
        <v>0.12138728323699421</v>
      </c>
    </row>
    <row r="4" spans="1:12">
      <c r="A4" s="161">
        <f>A3/3186</f>
        <v>5.4300062774639044E-2</v>
      </c>
      <c r="B4" s="161">
        <f>B3/3186</f>
        <v>3.3270558694287508E-2</v>
      </c>
      <c r="C4" s="161">
        <f>C3/3186</f>
        <v>0.91242937853107342</v>
      </c>
      <c r="J4" s="165" t="s">
        <v>566</v>
      </c>
      <c r="K4" s="178">
        <f>3+1</f>
        <v>4</v>
      </c>
      <c r="L4" s="185">
        <f t="shared" si="0"/>
        <v>2.3121387283236993E-2</v>
      </c>
    </row>
    <row r="5" spans="1:12" ht="24">
      <c r="J5" s="165" t="s">
        <v>567</v>
      </c>
      <c r="K5" s="178">
        <f>4+4</f>
        <v>8</v>
      </c>
      <c r="L5" s="185">
        <f t="shared" si="0"/>
        <v>4.6242774566473986E-2</v>
      </c>
    </row>
    <row r="6" spans="1:12" ht="24">
      <c r="J6" s="165" t="s">
        <v>568</v>
      </c>
      <c r="K6" s="178">
        <f>3+5</f>
        <v>8</v>
      </c>
      <c r="L6" s="185">
        <f t="shared" si="0"/>
        <v>4.6242774566473986E-2</v>
      </c>
    </row>
    <row r="7" spans="1:12" ht="24">
      <c r="A7" s="164" t="s">
        <v>569</v>
      </c>
      <c r="B7" s="178">
        <f>95+616+426+17+37+48+57+4</f>
        <v>1300</v>
      </c>
      <c r="C7" s="161">
        <f>B7/3186</f>
        <v>0.40803515379786565</v>
      </c>
      <c r="J7" s="165" t="s">
        <v>570</v>
      </c>
      <c r="K7" s="178">
        <f>3</f>
        <v>3</v>
      </c>
      <c r="L7" s="185">
        <f t="shared" si="0"/>
        <v>1.7341040462427744E-2</v>
      </c>
    </row>
    <row r="8" spans="1:12" ht="24">
      <c r="A8" s="164" t="s">
        <v>571</v>
      </c>
      <c r="B8" s="178">
        <f>306+539+449</f>
        <v>1294</v>
      </c>
      <c r="C8" s="161">
        <f>B8/3186</f>
        <v>0.40615191462649092</v>
      </c>
      <c r="J8" s="165" t="s">
        <v>572</v>
      </c>
      <c r="K8" s="178">
        <f>4+1</f>
        <v>5</v>
      </c>
      <c r="L8" s="185">
        <f t="shared" si="0"/>
        <v>2.8901734104046242E-2</v>
      </c>
    </row>
    <row r="9" spans="1:12" ht="24">
      <c r="A9" s="164" t="s">
        <v>573</v>
      </c>
      <c r="B9" s="178">
        <f>38+139+236</f>
        <v>413</v>
      </c>
      <c r="C9" s="161">
        <f>B9/3186</f>
        <v>0.12962962962962962</v>
      </c>
      <c r="J9" s="165" t="s">
        <v>574</v>
      </c>
      <c r="K9" s="178">
        <f>3+8</f>
        <v>11</v>
      </c>
      <c r="L9" s="185">
        <f t="shared" si="0"/>
        <v>6.358381502890173E-2</v>
      </c>
    </row>
    <row r="10" spans="1:12">
      <c r="A10" s="164" t="s">
        <v>575</v>
      </c>
      <c r="B10" s="178">
        <f>19+44</f>
        <v>63</v>
      </c>
      <c r="C10" s="161">
        <f>B10/3186</f>
        <v>1.977401129943503E-2</v>
      </c>
      <c r="J10" s="165" t="s">
        <v>576</v>
      </c>
      <c r="K10" s="178">
        <f>17+23</f>
        <v>40</v>
      </c>
      <c r="L10" s="185">
        <f t="shared" si="0"/>
        <v>0.23121387283236994</v>
      </c>
    </row>
    <row r="11" spans="1:12" ht="24">
      <c r="A11" s="164" t="s">
        <v>577</v>
      </c>
      <c r="B11" s="178">
        <f>1+3+28+1+83</f>
        <v>116</v>
      </c>
      <c r="C11" s="161">
        <f>B11/3186</f>
        <v>3.6409290646578781E-2</v>
      </c>
      <c r="J11" s="165" t="s">
        <v>578</v>
      </c>
      <c r="K11" s="178">
        <f>1</f>
        <v>1</v>
      </c>
      <c r="L11" s="185">
        <f t="shared" si="0"/>
        <v>5.7803468208092483E-3</v>
      </c>
    </row>
    <row r="12" spans="1:12" ht="24">
      <c r="J12" s="165" t="s">
        <v>579</v>
      </c>
      <c r="K12" s="178">
        <f>11+1</f>
        <v>12</v>
      </c>
      <c r="L12" s="185">
        <f t="shared" si="0"/>
        <v>6.9364161849710976E-2</v>
      </c>
    </row>
    <row r="13" spans="1:12">
      <c r="J13" s="165" t="s">
        <v>217</v>
      </c>
      <c r="K13" s="178">
        <f>1</f>
        <v>1</v>
      </c>
      <c r="L13" s="185">
        <f t="shared" si="0"/>
        <v>5.7803468208092483E-3</v>
      </c>
    </row>
    <row r="14" spans="1:12" ht="24">
      <c r="J14" s="165" t="s">
        <v>580</v>
      </c>
      <c r="K14" s="178">
        <f>3+2</f>
        <v>5</v>
      </c>
      <c r="L14" s="185">
        <f t="shared" si="0"/>
        <v>2.8901734104046242E-2</v>
      </c>
    </row>
    <row r="15" spans="1:12" ht="24">
      <c r="J15" s="165" t="s">
        <v>581</v>
      </c>
      <c r="K15" s="178">
        <f>1</f>
        <v>1</v>
      </c>
      <c r="L15" s="185">
        <f t="shared" si="0"/>
        <v>5.7803468208092483E-3</v>
      </c>
    </row>
    <row r="16" spans="1:12">
      <c r="J16" s="165" t="s">
        <v>582</v>
      </c>
      <c r="K16" s="178">
        <f>1</f>
        <v>1</v>
      </c>
      <c r="L16" s="185">
        <f t="shared" si="0"/>
        <v>5.7803468208092483E-3</v>
      </c>
    </row>
    <row r="17" spans="1:12" ht="24">
      <c r="J17" s="165" t="s">
        <v>583</v>
      </c>
      <c r="K17" s="178">
        <f>1</f>
        <v>1</v>
      </c>
      <c r="L17" s="185">
        <f t="shared" si="0"/>
        <v>5.7803468208092483E-3</v>
      </c>
    </row>
    <row r="18" spans="1:12" ht="38.25">
      <c r="A18" s="162" t="s">
        <v>561</v>
      </c>
      <c r="B18" s="156">
        <v>173</v>
      </c>
      <c r="C18" s="161">
        <f>173/173</f>
        <v>1</v>
      </c>
      <c r="J18" s="165" t="s">
        <v>584</v>
      </c>
      <c r="K18" s="178">
        <f>2</f>
        <v>2</v>
      </c>
      <c r="L18" s="185">
        <f t="shared" si="0"/>
        <v>1.1560693641618497E-2</v>
      </c>
    </row>
    <row r="19" spans="1:12" ht="51">
      <c r="A19" s="162" t="s">
        <v>585</v>
      </c>
      <c r="B19" s="156">
        <v>2</v>
      </c>
      <c r="C19" s="161">
        <f>B19/173</f>
        <v>1.1560693641618497E-2</v>
      </c>
      <c r="J19" s="165" t="s">
        <v>586</v>
      </c>
      <c r="K19" s="178">
        <f>1</f>
        <v>1</v>
      </c>
      <c r="L19" s="185">
        <f t="shared" si="0"/>
        <v>5.7803468208092483E-3</v>
      </c>
    </row>
    <row r="20" spans="1:12" ht="38.25">
      <c r="A20" s="162" t="s">
        <v>587</v>
      </c>
      <c r="B20" s="156">
        <v>2</v>
      </c>
      <c r="C20" s="161">
        <f>B20/173</f>
        <v>1.1560693641618497E-2</v>
      </c>
      <c r="J20" s="165" t="s">
        <v>588</v>
      </c>
      <c r="K20" s="178">
        <f>2</f>
        <v>2</v>
      </c>
      <c r="L20" s="185">
        <f t="shared" si="0"/>
        <v>1.1560693641618497E-2</v>
      </c>
    </row>
    <row r="21" spans="1:12" ht="51">
      <c r="A21" s="162" t="s">
        <v>589</v>
      </c>
      <c r="B21" s="156">
        <f>B18-B19-B20</f>
        <v>169</v>
      </c>
      <c r="C21" s="161">
        <f>B21/173</f>
        <v>0.97687861271676302</v>
      </c>
    </row>
    <row r="24" spans="1:12">
      <c r="A24" s="165" t="s">
        <v>590</v>
      </c>
      <c r="B24" s="178">
        <f>4+11</f>
        <v>15</v>
      </c>
      <c r="C24" s="161">
        <f>B24/173</f>
        <v>8.6705202312138727E-2</v>
      </c>
    </row>
    <row r="25" spans="1:12">
      <c r="A25" s="165" t="s">
        <v>591</v>
      </c>
      <c r="B25" s="178">
        <f>2+2</f>
        <v>4</v>
      </c>
      <c r="C25" s="161">
        <f t="shared" ref="C25:C32" si="1">B25/173</f>
        <v>2.3121387283236993E-2</v>
      </c>
    </row>
    <row r="26" spans="1:12">
      <c r="A26" s="165" t="s">
        <v>592</v>
      </c>
      <c r="B26" s="178">
        <f>5+5</f>
        <v>10</v>
      </c>
      <c r="C26" s="161">
        <f t="shared" si="1"/>
        <v>5.7803468208092484E-2</v>
      </c>
    </row>
    <row r="27" spans="1:12">
      <c r="A27" s="165" t="s">
        <v>593</v>
      </c>
      <c r="B27" s="178">
        <f>14+6</f>
        <v>20</v>
      </c>
      <c r="C27" s="161">
        <f t="shared" si="1"/>
        <v>0.11560693641618497</v>
      </c>
    </row>
    <row r="28" spans="1:12" ht="24">
      <c r="A28" s="165" t="s">
        <v>594</v>
      </c>
      <c r="B28" s="178">
        <f>3+12+1</f>
        <v>16</v>
      </c>
      <c r="C28" s="161">
        <f t="shared" si="1"/>
        <v>9.2485549132947972E-2</v>
      </c>
    </row>
    <row r="29" spans="1:12">
      <c r="A29" s="165" t="s">
        <v>595</v>
      </c>
      <c r="B29" s="178">
        <f>8+1+13</f>
        <v>22</v>
      </c>
      <c r="C29" s="161">
        <f t="shared" si="1"/>
        <v>0.12716763005780346</v>
      </c>
    </row>
    <row r="30" spans="1:12">
      <c r="A30" s="165" t="s">
        <v>596</v>
      </c>
      <c r="B30" s="178">
        <f>25+14</f>
        <v>39</v>
      </c>
      <c r="C30" s="161">
        <f t="shared" si="1"/>
        <v>0.22543352601156069</v>
      </c>
    </row>
    <row r="31" spans="1:12">
      <c r="A31" s="165" t="s">
        <v>597</v>
      </c>
      <c r="B31" s="178">
        <f>24+22</f>
        <v>46</v>
      </c>
      <c r="C31" s="161">
        <f t="shared" si="1"/>
        <v>0.26589595375722541</v>
      </c>
    </row>
    <row r="32" spans="1:12">
      <c r="A32" s="165" t="s">
        <v>598</v>
      </c>
      <c r="B32" s="178">
        <f>1</f>
        <v>1</v>
      </c>
      <c r="C32" s="161">
        <f t="shared" si="1"/>
        <v>5.7803468208092483E-3</v>
      </c>
    </row>
    <row r="36" spans="1:3" ht="24">
      <c r="A36" s="165" t="s">
        <v>599</v>
      </c>
      <c r="B36" s="178">
        <f>6+1</f>
        <v>7</v>
      </c>
      <c r="C36" s="161">
        <f t="shared" ref="C36:C52" si="2">B36/173</f>
        <v>4.046242774566474E-2</v>
      </c>
    </row>
    <row r="37" spans="1:3" ht="24">
      <c r="A37" s="165" t="s">
        <v>600</v>
      </c>
      <c r="B37" s="178">
        <f>8+1</f>
        <v>9</v>
      </c>
      <c r="C37" s="161">
        <f t="shared" si="2"/>
        <v>5.2023121387283239E-2</v>
      </c>
    </row>
    <row r="38" spans="1:3" ht="36">
      <c r="A38" s="165" t="s">
        <v>601</v>
      </c>
      <c r="B38" s="178">
        <f>4+3</f>
        <v>7</v>
      </c>
      <c r="C38" s="161">
        <f t="shared" si="2"/>
        <v>4.046242774566474E-2</v>
      </c>
    </row>
    <row r="39" spans="1:3" ht="36">
      <c r="A39" s="165" t="s">
        <v>602</v>
      </c>
      <c r="B39" s="178">
        <f>6+3</f>
        <v>9</v>
      </c>
      <c r="C39" s="161">
        <f t="shared" si="2"/>
        <v>5.2023121387283239E-2</v>
      </c>
    </row>
    <row r="40" spans="1:3">
      <c r="A40" s="165" t="s">
        <v>603</v>
      </c>
      <c r="B40" s="178">
        <f>6+13</f>
        <v>19</v>
      </c>
      <c r="C40" s="161">
        <f t="shared" si="2"/>
        <v>0.10982658959537572</v>
      </c>
    </row>
    <row r="41" spans="1:3">
      <c r="A41" s="165" t="s">
        <v>592</v>
      </c>
      <c r="B41" s="178">
        <f>3+1+2</f>
        <v>6</v>
      </c>
      <c r="C41" s="161">
        <f t="shared" si="2"/>
        <v>3.4682080924855488E-2</v>
      </c>
    </row>
    <row r="42" spans="1:3">
      <c r="A42" s="165" t="s">
        <v>604</v>
      </c>
      <c r="B42" s="178">
        <f>1</f>
        <v>1</v>
      </c>
      <c r="C42" s="161">
        <f t="shared" si="2"/>
        <v>5.7803468208092483E-3</v>
      </c>
    </row>
    <row r="43" spans="1:3">
      <c r="A43" s="165" t="s">
        <v>605</v>
      </c>
      <c r="B43" s="178">
        <f>1</f>
        <v>1</v>
      </c>
      <c r="C43" s="161">
        <f t="shared" si="2"/>
        <v>5.7803468208092483E-3</v>
      </c>
    </row>
    <row r="44" spans="1:3" ht="24">
      <c r="A44" s="165" t="s">
        <v>606</v>
      </c>
      <c r="B44" s="178">
        <f>1+10</f>
        <v>11</v>
      </c>
      <c r="C44" s="161">
        <f t="shared" si="2"/>
        <v>6.358381502890173E-2</v>
      </c>
    </row>
    <row r="45" spans="1:3" ht="24">
      <c r="A45" s="165" t="s">
        <v>607</v>
      </c>
      <c r="B45" s="178">
        <f>4</f>
        <v>4</v>
      </c>
      <c r="C45" s="161">
        <f t="shared" si="2"/>
        <v>2.3121387283236993E-2</v>
      </c>
    </row>
    <row r="46" spans="1:3" ht="24">
      <c r="A46" s="165" t="s">
        <v>608</v>
      </c>
      <c r="B46" s="178">
        <f>1</f>
        <v>1</v>
      </c>
      <c r="C46" s="161">
        <f t="shared" si="2"/>
        <v>5.7803468208092483E-3</v>
      </c>
    </row>
    <row r="47" spans="1:3">
      <c r="A47" s="165" t="s">
        <v>593</v>
      </c>
      <c r="B47" s="178">
        <f>14+7</f>
        <v>21</v>
      </c>
      <c r="C47" s="161">
        <f t="shared" si="2"/>
        <v>0.12138728323699421</v>
      </c>
    </row>
    <row r="48" spans="1:3">
      <c r="A48" s="165" t="s">
        <v>609</v>
      </c>
      <c r="B48" s="178">
        <f>4+13</f>
        <v>17</v>
      </c>
      <c r="C48" s="161">
        <f t="shared" si="2"/>
        <v>9.8265895953757232E-2</v>
      </c>
    </row>
    <row r="49" spans="1:3" ht="36">
      <c r="A49" s="165" t="s">
        <v>610</v>
      </c>
      <c r="B49" s="178">
        <f>1+2</f>
        <v>3</v>
      </c>
      <c r="C49" s="161">
        <f t="shared" si="2"/>
        <v>1.7341040462427744E-2</v>
      </c>
    </row>
    <row r="50" spans="1:3">
      <c r="A50" s="165" t="s">
        <v>611</v>
      </c>
      <c r="B50" s="178">
        <f>15+27</f>
        <v>42</v>
      </c>
      <c r="C50" s="161">
        <f t="shared" si="2"/>
        <v>0.24277456647398843</v>
      </c>
    </row>
    <row r="51" spans="1:3">
      <c r="A51" s="165" t="s">
        <v>612</v>
      </c>
      <c r="B51" s="178">
        <f>12</f>
        <v>12</v>
      </c>
      <c r="C51" s="161">
        <f t="shared" si="2"/>
        <v>6.9364161849710976E-2</v>
      </c>
    </row>
    <row r="52" spans="1:3">
      <c r="A52" s="165" t="s">
        <v>613</v>
      </c>
      <c r="B52" s="178">
        <f>3</f>
        <v>3</v>
      </c>
      <c r="C52" s="161">
        <f t="shared" si="2"/>
        <v>1.7341040462427744E-2</v>
      </c>
    </row>
  </sheetData>
  <mergeCells count="1">
    <mergeCell ref="A1:C1"/>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Q90"/>
  <sheetViews>
    <sheetView zoomScale="90" zoomScaleNormal="90" workbookViewId="0">
      <selection activeCell="J27" sqref="J27"/>
    </sheetView>
  </sheetViews>
  <sheetFormatPr defaultRowHeight="12.75"/>
  <cols>
    <col min="1" max="2" width="11.42578125" customWidth="1"/>
    <col min="3" max="3" width="22.42578125" customWidth="1"/>
    <col min="4" max="14" width="11.42578125" customWidth="1"/>
    <col min="15" max="15" width="22.5703125" customWidth="1"/>
    <col min="16" max="256" width="11.42578125" customWidth="1"/>
  </cols>
  <sheetData>
    <row r="2" spans="1:17">
      <c r="A2" s="363" t="s">
        <v>614</v>
      </c>
      <c r="B2" s="363"/>
      <c r="C2" s="363"/>
      <c r="D2" s="363"/>
      <c r="E2" s="363"/>
      <c r="G2" s="363" t="s">
        <v>615</v>
      </c>
      <c r="H2" s="363"/>
      <c r="I2" s="363"/>
      <c r="J2" s="363"/>
      <c r="K2" s="363"/>
      <c r="M2" s="363" t="s">
        <v>616</v>
      </c>
      <c r="N2" s="363"/>
      <c r="O2" s="363"/>
      <c r="P2" s="363"/>
      <c r="Q2" s="363"/>
    </row>
    <row r="3" spans="1:17" ht="25.5">
      <c r="A3" s="179" t="s">
        <v>617</v>
      </c>
      <c r="B3" s="179" t="s">
        <v>618</v>
      </c>
      <c r="C3" s="187" t="s">
        <v>619</v>
      </c>
      <c r="D3" s="179" t="s">
        <v>620</v>
      </c>
      <c r="E3" s="179" t="s">
        <v>621</v>
      </c>
      <c r="G3" s="179" t="s">
        <v>617</v>
      </c>
      <c r="H3" s="179" t="s">
        <v>618</v>
      </c>
      <c r="I3" s="187" t="s">
        <v>619</v>
      </c>
      <c r="J3" s="179" t="s">
        <v>620</v>
      </c>
      <c r="K3" s="179" t="s">
        <v>621</v>
      </c>
      <c r="M3" s="179" t="s">
        <v>617</v>
      </c>
      <c r="N3" s="179" t="s">
        <v>618</v>
      </c>
      <c r="O3" s="187" t="s">
        <v>619</v>
      </c>
      <c r="P3" s="179" t="s">
        <v>620</v>
      </c>
      <c r="Q3" s="179" t="s">
        <v>621</v>
      </c>
    </row>
    <row r="4" spans="1:17" ht="22.5">
      <c r="A4" s="166">
        <v>42375</v>
      </c>
      <c r="B4" s="168" t="s">
        <v>622</v>
      </c>
      <c r="C4" s="186" t="s">
        <v>623</v>
      </c>
      <c r="D4" s="166"/>
      <c r="E4" s="192"/>
      <c r="G4" s="166">
        <v>42403</v>
      </c>
      <c r="H4" s="168" t="s">
        <v>624</v>
      </c>
      <c r="I4" s="186" t="s">
        <v>625</v>
      </c>
      <c r="J4" s="166"/>
      <c r="K4" s="192"/>
      <c r="M4" s="166">
        <v>42431</v>
      </c>
      <c r="N4" s="168" t="s">
        <v>622</v>
      </c>
      <c r="O4" s="186" t="s">
        <v>626</v>
      </c>
      <c r="P4" s="166"/>
      <c r="Q4" s="192"/>
    </row>
    <row r="5" spans="1:17" ht="22.5">
      <c r="A5" s="166">
        <v>42375</v>
      </c>
      <c r="B5" s="168" t="s">
        <v>622</v>
      </c>
      <c r="C5" s="186" t="s">
        <v>627</v>
      </c>
      <c r="D5" s="166"/>
      <c r="E5" s="192"/>
      <c r="M5" s="166">
        <v>42431</v>
      </c>
      <c r="N5" s="168" t="s">
        <v>622</v>
      </c>
      <c r="O5" s="186" t="s">
        <v>626</v>
      </c>
      <c r="P5" s="166"/>
      <c r="Q5" s="192"/>
    </row>
    <row r="6" spans="1:17">
      <c r="A6" s="166">
        <v>42374</v>
      </c>
      <c r="B6" s="168" t="s">
        <v>622</v>
      </c>
      <c r="C6" s="186" t="s">
        <v>623</v>
      </c>
      <c r="D6" s="166"/>
      <c r="E6" s="192"/>
      <c r="M6" s="166">
        <v>42431</v>
      </c>
      <c r="N6" s="168" t="s">
        <v>622</v>
      </c>
      <c r="O6" s="186" t="s">
        <v>626</v>
      </c>
      <c r="P6" s="166"/>
      <c r="Q6" s="192"/>
    </row>
    <row r="7" spans="1:17" ht="22.5">
      <c r="A7" s="166">
        <v>42374</v>
      </c>
      <c r="B7" s="168" t="s">
        <v>622</v>
      </c>
      <c r="C7" s="186" t="s">
        <v>623</v>
      </c>
      <c r="D7" s="171"/>
      <c r="E7" s="192"/>
      <c r="M7" s="166">
        <v>42430</v>
      </c>
      <c r="N7" s="168" t="s">
        <v>622</v>
      </c>
      <c r="O7" s="186" t="s">
        <v>628</v>
      </c>
      <c r="P7" s="166"/>
      <c r="Q7" s="192"/>
    </row>
    <row r="8" spans="1:17" ht="22.5">
      <c r="A8" s="166">
        <v>42374</v>
      </c>
      <c r="B8" s="168" t="s">
        <v>622</v>
      </c>
      <c r="C8" s="186" t="s">
        <v>623</v>
      </c>
      <c r="D8" s="166"/>
      <c r="E8" s="192"/>
      <c r="M8" s="166">
        <v>42430</v>
      </c>
      <c r="N8" s="168" t="s">
        <v>622</v>
      </c>
      <c r="O8" s="186" t="s">
        <v>628</v>
      </c>
      <c r="P8" s="166"/>
      <c r="Q8" s="192"/>
    </row>
    <row r="9" spans="1:17" ht="22.5">
      <c r="A9" s="166">
        <v>42374</v>
      </c>
      <c r="B9" s="168" t="s">
        <v>622</v>
      </c>
      <c r="C9" s="186" t="s">
        <v>627</v>
      </c>
      <c r="D9" s="170"/>
      <c r="E9" s="192"/>
      <c r="M9" s="166">
        <v>42430</v>
      </c>
      <c r="N9" s="168" t="s">
        <v>622</v>
      </c>
      <c r="O9" s="186" t="s">
        <v>628</v>
      </c>
      <c r="P9" s="166"/>
      <c r="Q9" s="192"/>
    </row>
    <row r="10" spans="1:17">
      <c r="A10" s="166">
        <v>42373</v>
      </c>
      <c r="B10" s="168" t="s">
        <v>622</v>
      </c>
      <c r="C10" s="186" t="s">
        <v>623</v>
      </c>
      <c r="D10" s="166"/>
      <c r="E10" s="192"/>
      <c r="M10" s="166">
        <v>42433</v>
      </c>
      <c r="N10" s="168" t="s">
        <v>622</v>
      </c>
      <c r="O10" s="188" t="s">
        <v>626</v>
      </c>
      <c r="P10" s="166"/>
      <c r="Q10" s="192"/>
    </row>
    <row r="11" spans="1:17" ht="22.5">
      <c r="A11" s="166">
        <v>42373</v>
      </c>
      <c r="B11" s="168" t="s">
        <v>622</v>
      </c>
      <c r="C11" s="186" t="s">
        <v>623</v>
      </c>
      <c r="D11" s="166"/>
      <c r="E11" s="192"/>
      <c r="M11" s="166">
        <v>42433</v>
      </c>
      <c r="N11" s="168" t="s">
        <v>622</v>
      </c>
      <c r="O11" s="186" t="s">
        <v>629</v>
      </c>
      <c r="P11" s="166"/>
      <c r="Q11" s="192"/>
    </row>
    <row r="12" spans="1:17" ht="22.5">
      <c r="A12" s="166">
        <v>42373</v>
      </c>
      <c r="B12" s="168" t="s">
        <v>622</v>
      </c>
      <c r="C12" s="186" t="s">
        <v>630</v>
      </c>
      <c r="D12" s="166"/>
      <c r="E12" s="192"/>
      <c r="M12" s="166">
        <v>42433</v>
      </c>
      <c r="N12" s="168" t="s">
        <v>622</v>
      </c>
      <c r="O12" s="186" t="s">
        <v>623</v>
      </c>
      <c r="P12" s="166"/>
      <c r="Q12" s="192"/>
    </row>
    <row r="13" spans="1:17">
      <c r="A13" s="166">
        <v>42373</v>
      </c>
      <c r="B13" s="168" t="s">
        <v>622</v>
      </c>
      <c r="C13" s="186" t="s">
        <v>623</v>
      </c>
      <c r="D13" s="171"/>
      <c r="E13" s="192"/>
      <c r="M13" s="166">
        <v>42433</v>
      </c>
      <c r="N13" s="168" t="s">
        <v>622</v>
      </c>
      <c r="O13" s="186" t="s">
        <v>623</v>
      </c>
      <c r="P13" s="166"/>
      <c r="Q13" s="192"/>
    </row>
    <row r="14" spans="1:17" ht="22.5">
      <c r="A14" s="166">
        <v>42373</v>
      </c>
      <c r="B14" s="168" t="s">
        <v>622</v>
      </c>
      <c r="C14" s="186" t="s">
        <v>628</v>
      </c>
      <c r="D14" s="166"/>
      <c r="E14" s="192"/>
      <c r="M14" s="166">
        <v>42433</v>
      </c>
      <c r="N14" s="168" t="s">
        <v>622</v>
      </c>
      <c r="O14" s="186" t="s">
        <v>631</v>
      </c>
      <c r="P14" s="166"/>
      <c r="Q14" s="192"/>
    </row>
    <row r="15" spans="1:17" ht="22.5">
      <c r="A15" s="170">
        <v>42372</v>
      </c>
      <c r="B15" s="168" t="s">
        <v>622</v>
      </c>
      <c r="C15" s="189" t="s">
        <v>623</v>
      </c>
      <c r="D15" s="170"/>
      <c r="E15" s="192"/>
      <c r="M15" s="166">
        <v>42433</v>
      </c>
      <c r="N15" s="168" t="s">
        <v>622</v>
      </c>
      <c r="O15" s="186" t="s">
        <v>632</v>
      </c>
      <c r="P15" s="166"/>
      <c r="Q15" s="192"/>
    </row>
    <row r="16" spans="1:17" ht="22.5">
      <c r="A16" s="170">
        <v>42372</v>
      </c>
      <c r="B16" s="168" t="s">
        <v>622</v>
      </c>
      <c r="C16" s="186" t="s">
        <v>630</v>
      </c>
      <c r="D16" s="171"/>
      <c r="E16" s="192"/>
      <c r="M16" s="166">
        <v>42433</v>
      </c>
      <c r="N16" s="168" t="s">
        <v>622</v>
      </c>
      <c r="O16" s="186" t="s">
        <v>626</v>
      </c>
      <c r="P16" s="166"/>
      <c r="Q16" s="192"/>
    </row>
    <row r="17" spans="1:17">
      <c r="A17" s="170">
        <v>42372</v>
      </c>
      <c r="B17" s="168" t="s">
        <v>622</v>
      </c>
      <c r="C17" s="189" t="s">
        <v>623</v>
      </c>
      <c r="D17" s="166"/>
      <c r="E17" s="192"/>
      <c r="M17" s="166">
        <v>42433</v>
      </c>
      <c r="N17" s="168" t="s">
        <v>622</v>
      </c>
      <c r="O17" s="186" t="s">
        <v>626</v>
      </c>
      <c r="P17" s="166"/>
      <c r="Q17" s="192"/>
    </row>
    <row r="18" spans="1:17">
      <c r="A18" s="170">
        <v>42371</v>
      </c>
      <c r="B18" s="168" t="s">
        <v>622</v>
      </c>
      <c r="C18" s="189" t="s">
        <v>625</v>
      </c>
      <c r="D18" s="170"/>
      <c r="E18" s="192"/>
      <c r="M18" s="166">
        <v>42431</v>
      </c>
      <c r="N18" s="168" t="s">
        <v>622</v>
      </c>
      <c r="O18" s="186" t="s">
        <v>626</v>
      </c>
      <c r="P18" s="166"/>
      <c r="Q18" s="192"/>
    </row>
    <row r="19" spans="1:17" ht="22.5">
      <c r="A19" s="166">
        <v>42388</v>
      </c>
      <c r="B19" s="168" t="s">
        <v>622</v>
      </c>
      <c r="C19" s="186" t="s">
        <v>630</v>
      </c>
      <c r="D19" s="166"/>
      <c r="E19" s="192"/>
      <c r="M19" s="166">
        <v>42434</v>
      </c>
      <c r="N19" s="168" t="s">
        <v>622</v>
      </c>
      <c r="O19" s="186" t="s">
        <v>626</v>
      </c>
      <c r="P19" s="166"/>
      <c r="Q19" s="192"/>
    </row>
    <row r="20" spans="1:17">
      <c r="A20" s="171">
        <v>42375</v>
      </c>
      <c r="B20" s="168" t="s">
        <v>622</v>
      </c>
      <c r="C20" s="186" t="s">
        <v>623</v>
      </c>
      <c r="D20" s="170"/>
      <c r="E20" s="192"/>
      <c r="M20" s="166">
        <v>42438</v>
      </c>
      <c r="N20" s="168" t="s">
        <v>622</v>
      </c>
      <c r="O20" s="186" t="s">
        <v>626</v>
      </c>
      <c r="P20" s="166"/>
      <c r="Q20" s="192"/>
    </row>
    <row r="21" spans="1:17">
      <c r="A21" s="166">
        <v>42375</v>
      </c>
      <c r="B21" s="168" t="s">
        <v>622</v>
      </c>
      <c r="C21" s="186" t="s">
        <v>623</v>
      </c>
      <c r="D21" s="166"/>
      <c r="E21" s="192"/>
      <c r="M21" s="166">
        <v>42438</v>
      </c>
      <c r="N21" s="176" t="s">
        <v>622</v>
      </c>
      <c r="O21" s="193" t="s">
        <v>633</v>
      </c>
      <c r="P21" s="166"/>
      <c r="Q21" s="192"/>
    </row>
    <row r="22" spans="1:17">
      <c r="A22" s="166">
        <v>42375</v>
      </c>
      <c r="B22" s="168" t="s">
        <v>622</v>
      </c>
      <c r="C22" s="186" t="s">
        <v>623</v>
      </c>
      <c r="D22" s="170"/>
      <c r="E22" s="192"/>
      <c r="M22" s="166">
        <v>42438</v>
      </c>
      <c r="N22" s="176" t="s">
        <v>622</v>
      </c>
      <c r="O22" s="193" t="s">
        <v>634</v>
      </c>
      <c r="P22" s="166"/>
      <c r="Q22" s="192"/>
    </row>
    <row r="23" spans="1:17">
      <c r="A23" s="166">
        <v>42375</v>
      </c>
      <c r="B23" s="168" t="s">
        <v>622</v>
      </c>
      <c r="C23" s="186" t="s">
        <v>625</v>
      </c>
      <c r="D23" s="166"/>
      <c r="E23" s="192"/>
      <c r="M23" s="166">
        <v>42438</v>
      </c>
      <c r="N23" s="176" t="s">
        <v>622</v>
      </c>
      <c r="O23" s="193" t="s">
        <v>635</v>
      </c>
      <c r="P23" s="166"/>
      <c r="Q23" s="192"/>
    </row>
    <row r="24" spans="1:17">
      <c r="A24" s="166">
        <v>42375</v>
      </c>
      <c r="B24" s="168" t="s">
        <v>622</v>
      </c>
      <c r="C24" s="186" t="s">
        <v>623</v>
      </c>
      <c r="D24" s="166"/>
      <c r="E24" s="192"/>
      <c r="M24" s="166">
        <v>42438</v>
      </c>
      <c r="N24" s="176" t="s">
        <v>622</v>
      </c>
      <c r="O24" s="193" t="s">
        <v>636</v>
      </c>
      <c r="P24" s="166"/>
      <c r="Q24" s="192"/>
    </row>
    <row r="25" spans="1:17" ht="22.5">
      <c r="A25" s="166">
        <v>42376</v>
      </c>
      <c r="B25" s="168" t="s">
        <v>622</v>
      </c>
      <c r="C25" s="186" t="s">
        <v>626</v>
      </c>
      <c r="D25" s="166"/>
      <c r="E25" s="192"/>
      <c r="M25" s="166">
        <v>42439</v>
      </c>
      <c r="N25" s="176" t="s">
        <v>622</v>
      </c>
      <c r="O25" s="193" t="s">
        <v>637</v>
      </c>
      <c r="P25" s="166"/>
      <c r="Q25" s="192"/>
    </row>
    <row r="26" spans="1:17" ht="22.5">
      <c r="A26" s="166">
        <v>42376</v>
      </c>
      <c r="B26" s="168" t="s">
        <v>622</v>
      </c>
      <c r="C26" s="186" t="s">
        <v>638</v>
      </c>
      <c r="D26" s="166"/>
      <c r="E26" s="192"/>
      <c r="M26" s="166">
        <v>42439</v>
      </c>
      <c r="N26" s="176" t="s">
        <v>622</v>
      </c>
      <c r="O26" s="193" t="s">
        <v>637</v>
      </c>
      <c r="P26" s="166"/>
      <c r="Q26" s="192"/>
    </row>
    <row r="27" spans="1:17">
      <c r="A27" s="166">
        <v>42376</v>
      </c>
      <c r="B27" s="168" t="s">
        <v>622</v>
      </c>
      <c r="C27" s="186" t="s">
        <v>639</v>
      </c>
      <c r="D27" s="166"/>
      <c r="E27" s="192"/>
      <c r="M27" s="166">
        <v>42439</v>
      </c>
      <c r="N27" s="176" t="s">
        <v>622</v>
      </c>
      <c r="O27" s="194" t="s">
        <v>640</v>
      </c>
      <c r="P27" s="166"/>
      <c r="Q27" s="192"/>
    </row>
    <row r="28" spans="1:17" ht="22.5">
      <c r="A28" s="166">
        <v>42376</v>
      </c>
      <c r="B28" s="168" t="s">
        <v>622</v>
      </c>
      <c r="C28" s="186" t="s">
        <v>628</v>
      </c>
      <c r="D28" s="166"/>
      <c r="E28" s="192"/>
      <c r="M28" s="166">
        <v>42439</v>
      </c>
      <c r="N28" s="176" t="s">
        <v>622</v>
      </c>
      <c r="O28" s="194" t="s">
        <v>636</v>
      </c>
      <c r="P28" s="166"/>
      <c r="Q28" s="192"/>
    </row>
    <row r="29" spans="1:17" ht="22.5">
      <c r="A29" s="166">
        <v>42376</v>
      </c>
      <c r="B29" s="168" t="s">
        <v>622</v>
      </c>
      <c r="C29" s="186" t="s">
        <v>632</v>
      </c>
      <c r="D29" s="166"/>
      <c r="E29" s="192"/>
      <c r="M29" s="166">
        <v>42439</v>
      </c>
      <c r="N29" s="176" t="s">
        <v>622</v>
      </c>
      <c r="O29" s="193" t="s">
        <v>636</v>
      </c>
      <c r="P29" s="166"/>
      <c r="Q29" s="192"/>
    </row>
    <row r="30" spans="1:17" ht="22.5">
      <c r="A30" s="166">
        <v>42377</v>
      </c>
      <c r="B30" s="168" t="s">
        <v>622</v>
      </c>
      <c r="C30" s="186" t="s">
        <v>631</v>
      </c>
      <c r="D30" s="166"/>
      <c r="E30" s="192"/>
      <c r="M30" s="166">
        <v>42440</v>
      </c>
      <c r="N30" s="176" t="s">
        <v>622</v>
      </c>
      <c r="O30" s="193" t="s">
        <v>641</v>
      </c>
      <c r="P30" s="166"/>
      <c r="Q30" s="192"/>
    </row>
    <row r="31" spans="1:17">
      <c r="A31" s="166">
        <v>42378</v>
      </c>
      <c r="B31" s="168" t="s">
        <v>622</v>
      </c>
      <c r="C31" s="190" t="s">
        <v>623</v>
      </c>
      <c r="D31" s="171"/>
      <c r="E31" s="192"/>
      <c r="M31" s="166">
        <v>42440</v>
      </c>
      <c r="N31" s="176" t="s">
        <v>622</v>
      </c>
      <c r="O31" s="193" t="s">
        <v>637</v>
      </c>
      <c r="P31" s="166"/>
      <c r="Q31" s="192"/>
    </row>
    <row r="32" spans="1:17" ht="22.5">
      <c r="A32" s="166">
        <v>42390</v>
      </c>
      <c r="B32" s="168" t="s">
        <v>622</v>
      </c>
      <c r="C32" s="186" t="s">
        <v>626</v>
      </c>
      <c r="D32" s="166"/>
      <c r="E32" s="192"/>
      <c r="M32" s="166">
        <v>42440</v>
      </c>
      <c r="N32" s="176" t="s">
        <v>622</v>
      </c>
      <c r="O32" s="195" t="s">
        <v>642</v>
      </c>
      <c r="P32" s="166"/>
      <c r="Q32" s="192"/>
    </row>
    <row r="33" spans="1:17" ht="22.5">
      <c r="A33" s="166">
        <v>42397</v>
      </c>
      <c r="B33" s="168" t="s">
        <v>622</v>
      </c>
      <c r="C33" s="189" t="s">
        <v>643</v>
      </c>
      <c r="D33" s="166"/>
      <c r="E33" s="192"/>
      <c r="M33" s="166">
        <v>42440</v>
      </c>
      <c r="N33" s="176" t="s">
        <v>622</v>
      </c>
      <c r="O33" s="194" t="s">
        <v>637</v>
      </c>
      <c r="P33" s="166"/>
      <c r="Q33" s="192"/>
    </row>
    <row r="34" spans="1:17" ht="22.5">
      <c r="A34" s="166">
        <v>42390</v>
      </c>
      <c r="B34" s="168" t="s">
        <v>622</v>
      </c>
      <c r="C34" s="186" t="s">
        <v>630</v>
      </c>
      <c r="D34" s="166"/>
      <c r="E34" s="192"/>
      <c r="M34" s="166">
        <v>42440</v>
      </c>
      <c r="N34" s="176" t="s">
        <v>622</v>
      </c>
      <c r="O34" s="194" t="s">
        <v>637</v>
      </c>
      <c r="P34" s="166"/>
      <c r="Q34" s="192"/>
    </row>
    <row r="35" spans="1:17">
      <c r="A35" s="166">
        <v>42390</v>
      </c>
      <c r="B35" s="168" t="s">
        <v>622</v>
      </c>
      <c r="C35" s="186" t="s">
        <v>639</v>
      </c>
      <c r="D35" s="166"/>
      <c r="E35" s="192"/>
      <c r="M35" s="166">
        <v>42440</v>
      </c>
      <c r="N35" s="176" t="s">
        <v>622</v>
      </c>
      <c r="O35" s="196" t="s">
        <v>637</v>
      </c>
      <c r="P35" s="166"/>
      <c r="Q35" s="192"/>
    </row>
    <row r="36" spans="1:17" ht="22.5">
      <c r="A36" s="166">
        <v>42390</v>
      </c>
      <c r="B36" s="168" t="s">
        <v>622</v>
      </c>
      <c r="C36" s="186" t="s">
        <v>639</v>
      </c>
      <c r="D36" s="166"/>
      <c r="E36" s="192"/>
      <c r="M36" s="166">
        <v>42440</v>
      </c>
      <c r="N36" s="176" t="s">
        <v>622</v>
      </c>
      <c r="O36" s="195" t="s">
        <v>644</v>
      </c>
      <c r="P36" s="166"/>
      <c r="Q36" s="192"/>
    </row>
    <row r="37" spans="1:17">
      <c r="A37" s="166">
        <v>42390</v>
      </c>
      <c r="B37" s="168" t="s">
        <v>622</v>
      </c>
      <c r="C37" s="186" t="s">
        <v>639</v>
      </c>
      <c r="D37" s="166">
        <v>42395</v>
      </c>
      <c r="E37" s="191">
        <f>D37-A37</f>
        <v>5</v>
      </c>
      <c r="M37" s="166">
        <v>42440</v>
      </c>
      <c r="N37" s="176" t="s">
        <v>622</v>
      </c>
      <c r="O37" s="186" t="s">
        <v>626</v>
      </c>
      <c r="P37" s="166"/>
      <c r="Q37" s="192"/>
    </row>
    <row r="38" spans="1:17">
      <c r="A38" s="166">
        <v>42381</v>
      </c>
      <c r="B38" s="168" t="s">
        <v>622</v>
      </c>
      <c r="C38" s="186" t="s">
        <v>639</v>
      </c>
      <c r="D38" s="166">
        <v>42395</v>
      </c>
      <c r="E38" s="191">
        <f>D38-A38</f>
        <v>14</v>
      </c>
      <c r="M38" s="166">
        <v>42440</v>
      </c>
      <c r="N38" s="176" t="s">
        <v>622</v>
      </c>
      <c r="O38" s="186" t="s">
        <v>626</v>
      </c>
      <c r="P38" s="166"/>
      <c r="Q38" s="192"/>
    </row>
    <row r="39" spans="1:17" ht="22.5">
      <c r="A39" s="166">
        <v>42390</v>
      </c>
      <c r="B39" s="168" t="s">
        <v>622</v>
      </c>
      <c r="C39" s="186" t="s">
        <v>645</v>
      </c>
      <c r="D39" s="166"/>
      <c r="E39" s="192"/>
      <c r="M39" s="166">
        <v>42443</v>
      </c>
      <c r="N39" s="176" t="s">
        <v>622</v>
      </c>
      <c r="O39" s="186" t="s">
        <v>625</v>
      </c>
      <c r="P39" s="166"/>
      <c r="Q39" s="192"/>
    </row>
    <row r="40" spans="1:17" ht="22.5">
      <c r="A40" s="166">
        <v>42390</v>
      </c>
      <c r="B40" s="168" t="s">
        <v>622</v>
      </c>
      <c r="C40" s="186" t="s">
        <v>627</v>
      </c>
      <c r="D40" s="166"/>
      <c r="E40" s="192"/>
      <c r="M40" s="166">
        <v>42444</v>
      </c>
      <c r="N40" s="176" t="s">
        <v>622</v>
      </c>
      <c r="O40" s="186" t="s">
        <v>646</v>
      </c>
      <c r="P40" s="166"/>
      <c r="Q40" s="192"/>
    </row>
    <row r="41" spans="1:17" ht="22.5">
      <c r="A41" s="166">
        <v>42390</v>
      </c>
      <c r="B41" s="168" t="s">
        <v>622</v>
      </c>
      <c r="C41" s="186" t="s">
        <v>630</v>
      </c>
      <c r="D41" s="166"/>
      <c r="E41" s="192"/>
      <c r="M41" s="166">
        <v>42443</v>
      </c>
      <c r="N41" s="176" t="s">
        <v>622</v>
      </c>
      <c r="O41" s="186" t="s">
        <v>626</v>
      </c>
      <c r="P41" s="166"/>
      <c r="Q41" s="192"/>
    </row>
    <row r="42" spans="1:17" ht="22.5">
      <c r="A42" s="166">
        <v>42390</v>
      </c>
      <c r="B42" s="168" t="s">
        <v>622</v>
      </c>
      <c r="C42" s="186" t="s">
        <v>632</v>
      </c>
      <c r="D42" s="166"/>
      <c r="E42" s="192"/>
      <c r="M42" s="166">
        <v>42444</v>
      </c>
      <c r="N42" s="176" t="s">
        <v>622</v>
      </c>
      <c r="O42" s="186" t="s">
        <v>626</v>
      </c>
      <c r="P42" s="166"/>
      <c r="Q42" s="192"/>
    </row>
    <row r="43" spans="1:17" ht="22.5">
      <c r="A43" s="166">
        <v>42390</v>
      </c>
      <c r="B43" s="168" t="s">
        <v>622</v>
      </c>
      <c r="C43" s="186" t="s">
        <v>630</v>
      </c>
      <c r="D43" s="166"/>
      <c r="E43" s="192"/>
      <c r="M43" s="166">
        <v>42444</v>
      </c>
      <c r="N43" s="176" t="s">
        <v>622</v>
      </c>
      <c r="O43" s="186" t="s">
        <v>623</v>
      </c>
      <c r="P43" s="166"/>
      <c r="Q43" s="192"/>
    </row>
    <row r="44" spans="1:17" ht="22.5">
      <c r="A44" s="166">
        <v>42396</v>
      </c>
      <c r="B44" s="168" t="s">
        <v>622</v>
      </c>
      <c r="C44" s="186" t="s">
        <v>626</v>
      </c>
      <c r="D44" s="166"/>
      <c r="E44" s="192"/>
      <c r="M44" s="166">
        <v>42445</v>
      </c>
      <c r="N44" s="176" t="s">
        <v>622</v>
      </c>
      <c r="O44" s="186" t="s">
        <v>626</v>
      </c>
      <c r="P44" s="166"/>
      <c r="Q44" s="192"/>
    </row>
    <row r="45" spans="1:17" ht="22.5">
      <c r="A45" s="166">
        <v>42396</v>
      </c>
      <c r="B45" s="168" t="s">
        <v>622</v>
      </c>
      <c r="C45" s="186" t="s">
        <v>626</v>
      </c>
      <c r="D45" s="166"/>
      <c r="E45" s="192"/>
      <c r="M45" s="166">
        <v>42445</v>
      </c>
      <c r="N45" s="176" t="s">
        <v>622</v>
      </c>
      <c r="O45" s="186" t="s">
        <v>631</v>
      </c>
      <c r="P45" s="166"/>
      <c r="Q45" s="192"/>
    </row>
    <row r="46" spans="1:17" ht="22.5">
      <c r="A46" s="166">
        <v>42396</v>
      </c>
      <c r="B46" s="168" t="s">
        <v>622</v>
      </c>
      <c r="C46" s="186" t="s">
        <v>626</v>
      </c>
      <c r="D46" s="171"/>
      <c r="E46" s="192"/>
      <c r="M46" s="166">
        <v>42445</v>
      </c>
      <c r="N46" s="176" t="s">
        <v>622</v>
      </c>
      <c r="O46" s="186" t="s">
        <v>623</v>
      </c>
      <c r="P46" s="166"/>
      <c r="Q46" s="192"/>
    </row>
    <row r="47" spans="1:17" ht="22.5">
      <c r="A47" s="166">
        <v>42396</v>
      </c>
      <c r="B47" s="168" t="s">
        <v>622</v>
      </c>
      <c r="C47" s="186" t="s">
        <v>626</v>
      </c>
      <c r="D47" s="166"/>
      <c r="E47" s="192"/>
      <c r="M47" s="166">
        <v>42445</v>
      </c>
      <c r="N47" s="176" t="s">
        <v>622</v>
      </c>
      <c r="O47" s="186" t="s">
        <v>631</v>
      </c>
      <c r="P47" s="166"/>
      <c r="Q47" s="192"/>
    </row>
    <row r="48" spans="1:17" ht="22.5">
      <c r="A48" s="166">
        <v>42396</v>
      </c>
      <c r="B48" s="168" t="s">
        <v>622</v>
      </c>
      <c r="C48" s="186" t="s">
        <v>626</v>
      </c>
      <c r="D48" s="166"/>
      <c r="E48" s="192"/>
      <c r="M48" s="166">
        <v>42445</v>
      </c>
      <c r="N48" s="176" t="s">
        <v>622</v>
      </c>
      <c r="O48" s="186" t="s">
        <v>623</v>
      </c>
      <c r="P48" s="166"/>
      <c r="Q48" s="192"/>
    </row>
    <row r="49" spans="1:17" ht="22.5">
      <c r="A49" s="166">
        <v>42396</v>
      </c>
      <c r="B49" s="168" t="s">
        <v>622</v>
      </c>
      <c r="C49" s="186" t="s">
        <v>626</v>
      </c>
      <c r="D49" s="170"/>
      <c r="E49" s="192"/>
      <c r="M49" s="166">
        <v>42445</v>
      </c>
      <c r="N49" s="176" t="s">
        <v>622</v>
      </c>
      <c r="O49" s="186" t="s">
        <v>639</v>
      </c>
      <c r="P49" s="166"/>
      <c r="Q49" s="192"/>
    </row>
    <row r="50" spans="1:17" ht="22.5">
      <c r="A50" s="166">
        <v>42396</v>
      </c>
      <c r="B50" s="168" t="s">
        <v>622</v>
      </c>
      <c r="C50" s="186" t="s">
        <v>626</v>
      </c>
      <c r="D50" s="166"/>
      <c r="E50" s="192"/>
      <c r="M50" s="166">
        <v>42445</v>
      </c>
      <c r="N50" s="176" t="s">
        <v>622</v>
      </c>
      <c r="O50" s="186" t="s">
        <v>623</v>
      </c>
      <c r="P50" s="166"/>
      <c r="Q50" s="192"/>
    </row>
    <row r="51" spans="1:17" ht="22.5">
      <c r="A51" s="166">
        <v>42396</v>
      </c>
      <c r="B51" s="168" t="s">
        <v>622</v>
      </c>
      <c r="C51" s="186" t="s">
        <v>626</v>
      </c>
      <c r="D51" s="166"/>
      <c r="E51" s="192"/>
      <c r="M51" s="166">
        <v>42445</v>
      </c>
      <c r="N51" s="176" t="s">
        <v>622</v>
      </c>
      <c r="O51" s="186" t="s">
        <v>639</v>
      </c>
      <c r="P51" s="166"/>
      <c r="Q51" s="192"/>
    </row>
    <row r="52" spans="1:17" ht="22.5">
      <c r="A52" s="166">
        <v>42396</v>
      </c>
      <c r="B52" s="168" t="s">
        <v>622</v>
      </c>
      <c r="C52" s="186" t="s">
        <v>626</v>
      </c>
      <c r="D52" s="171"/>
      <c r="E52" s="192"/>
      <c r="M52" s="166">
        <v>42445</v>
      </c>
      <c r="N52" s="176" t="s">
        <v>622</v>
      </c>
      <c r="O52" s="186" t="s">
        <v>623</v>
      </c>
      <c r="P52" s="166"/>
      <c r="Q52" s="192"/>
    </row>
    <row r="53" spans="1:17" ht="22.5">
      <c r="A53" s="166">
        <v>42391</v>
      </c>
      <c r="B53" s="168" t="s">
        <v>622</v>
      </c>
      <c r="C53" s="186" t="s">
        <v>630</v>
      </c>
      <c r="D53" s="166"/>
      <c r="E53" s="192"/>
      <c r="M53" s="166">
        <v>42445</v>
      </c>
      <c r="N53" s="176" t="s">
        <v>622</v>
      </c>
      <c r="O53" s="186" t="s">
        <v>643</v>
      </c>
      <c r="P53" s="166"/>
      <c r="Q53" s="192"/>
    </row>
    <row r="54" spans="1:17" ht="22.5">
      <c r="A54" s="166">
        <v>42390</v>
      </c>
      <c r="B54" s="168" t="s">
        <v>622</v>
      </c>
      <c r="C54" s="189" t="s">
        <v>626</v>
      </c>
      <c r="D54" s="170"/>
      <c r="E54" s="192"/>
      <c r="M54" s="166">
        <v>42445</v>
      </c>
      <c r="N54" s="176" t="s">
        <v>622</v>
      </c>
      <c r="O54" s="186" t="s">
        <v>631</v>
      </c>
      <c r="P54" s="166"/>
      <c r="Q54" s="192"/>
    </row>
    <row r="55" spans="1:17" ht="22.5">
      <c r="A55" s="166">
        <v>42395</v>
      </c>
      <c r="B55" s="168" t="s">
        <v>622</v>
      </c>
      <c r="C55" s="186" t="s">
        <v>643</v>
      </c>
      <c r="D55" s="166">
        <v>42412</v>
      </c>
      <c r="E55" s="198">
        <f>D55-A55</f>
        <v>17</v>
      </c>
      <c r="M55" s="166">
        <v>42446</v>
      </c>
      <c r="N55" s="176" t="s">
        <v>622</v>
      </c>
      <c r="O55" s="186" t="s">
        <v>623</v>
      </c>
      <c r="P55" s="166"/>
      <c r="Q55" s="192"/>
    </row>
    <row r="56" spans="1:17" ht="22.5">
      <c r="A56" s="166">
        <v>42390</v>
      </c>
      <c r="B56" s="168" t="s">
        <v>622</v>
      </c>
      <c r="C56" s="186" t="s">
        <v>647</v>
      </c>
      <c r="D56" s="166"/>
      <c r="E56" s="192"/>
      <c r="M56" s="166">
        <v>42446</v>
      </c>
      <c r="N56" s="176" t="s">
        <v>622</v>
      </c>
      <c r="O56" s="186" t="s">
        <v>643</v>
      </c>
      <c r="P56" s="166"/>
      <c r="Q56" s="192"/>
    </row>
    <row r="57" spans="1:17" ht="22.5">
      <c r="A57" s="166">
        <v>42390</v>
      </c>
      <c r="B57" s="168" t="s">
        <v>622</v>
      </c>
      <c r="C57" s="186" t="s">
        <v>638</v>
      </c>
      <c r="D57" s="166"/>
      <c r="E57" s="192"/>
      <c r="M57" s="166">
        <v>42450</v>
      </c>
      <c r="N57" s="176" t="s">
        <v>622</v>
      </c>
      <c r="O57" s="186" t="s">
        <v>648</v>
      </c>
      <c r="P57" s="166"/>
      <c r="Q57" s="192"/>
    </row>
    <row r="58" spans="1:17">
      <c r="A58" s="166">
        <v>42390</v>
      </c>
      <c r="B58" s="168" t="s">
        <v>622</v>
      </c>
      <c r="C58" s="186" t="s">
        <v>623</v>
      </c>
      <c r="D58" s="166"/>
      <c r="E58" s="192"/>
      <c r="M58" s="166">
        <v>42454</v>
      </c>
      <c r="N58" s="176" t="s">
        <v>622</v>
      </c>
      <c r="O58" s="186" t="s">
        <v>639</v>
      </c>
      <c r="P58" s="166"/>
      <c r="Q58" s="192"/>
    </row>
    <row r="59" spans="1:17" ht="22.5">
      <c r="A59" s="166">
        <v>42391</v>
      </c>
      <c r="B59" s="168" t="s">
        <v>622</v>
      </c>
      <c r="C59" s="186" t="s">
        <v>649</v>
      </c>
      <c r="D59" s="166"/>
      <c r="E59" s="192"/>
      <c r="M59" s="166">
        <v>42452</v>
      </c>
      <c r="N59" s="176" t="s">
        <v>622</v>
      </c>
      <c r="O59" s="188" t="s">
        <v>625</v>
      </c>
      <c r="P59" s="166"/>
      <c r="Q59" s="192"/>
    </row>
    <row r="60" spans="1:17">
      <c r="A60" s="166">
        <v>42398</v>
      </c>
      <c r="B60" s="168" t="s">
        <v>622</v>
      </c>
      <c r="C60" s="186" t="s">
        <v>623</v>
      </c>
      <c r="D60" s="166"/>
      <c r="E60" s="192"/>
      <c r="M60" s="166">
        <v>42447</v>
      </c>
      <c r="N60" s="176" t="s">
        <v>622</v>
      </c>
      <c r="O60" s="188" t="s">
        <v>625</v>
      </c>
      <c r="P60" s="166"/>
      <c r="Q60" s="192"/>
    </row>
    <row r="61" spans="1:17">
      <c r="A61" s="170">
        <v>42396</v>
      </c>
      <c r="B61" s="168" t="s">
        <v>622</v>
      </c>
      <c r="C61" s="189" t="s">
        <v>639</v>
      </c>
      <c r="D61" s="166"/>
      <c r="E61" s="192"/>
      <c r="M61" s="166">
        <v>42447</v>
      </c>
      <c r="N61" s="176" t="s">
        <v>622</v>
      </c>
      <c r="O61" s="186" t="s">
        <v>639</v>
      </c>
      <c r="P61" s="166"/>
      <c r="Q61" s="192"/>
    </row>
    <row r="62" spans="1:17" ht="22.5">
      <c r="A62" s="170">
        <v>42396</v>
      </c>
      <c r="B62" s="168" t="s">
        <v>622</v>
      </c>
      <c r="C62" s="186" t="s">
        <v>643</v>
      </c>
      <c r="D62" s="166"/>
      <c r="E62" s="192"/>
      <c r="M62" s="166">
        <v>42447</v>
      </c>
      <c r="N62" s="176" t="s">
        <v>622</v>
      </c>
      <c r="O62" s="186" t="s">
        <v>639</v>
      </c>
      <c r="P62" s="166"/>
      <c r="Q62" s="192"/>
    </row>
    <row r="63" spans="1:17" ht="22.5">
      <c r="A63" s="170">
        <v>42396</v>
      </c>
      <c r="B63" s="168" t="s">
        <v>622</v>
      </c>
      <c r="C63" s="186" t="s">
        <v>630</v>
      </c>
      <c r="D63" s="166"/>
      <c r="E63" s="192"/>
      <c r="M63" s="166">
        <v>42451</v>
      </c>
      <c r="N63" s="176" t="s">
        <v>622</v>
      </c>
      <c r="O63" s="186" t="s">
        <v>623</v>
      </c>
      <c r="P63" s="166"/>
      <c r="Q63" s="192"/>
    </row>
    <row r="64" spans="1:17" ht="22.5">
      <c r="A64" s="170">
        <v>42396</v>
      </c>
      <c r="B64" s="168" t="s">
        <v>622</v>
      </c>
      <c r="C64" s="186" t="s">
        <v>632</v>
      </c>
      <c r="D64" s="166"/>
      <c r="E64" s="192"/>
      <c r="M64" s="166">
        <v>42451</v>
      </c>
      <c r="N64" s="176" t="s">
        <v>622</v>
      </c>
      <c r="O64" s="186" t="s">
        <v>623</v>
      </c>
      <c r="P64" s="166"/>
      <c r="Q64" s="192"/>
    </row>
    <row r="65" spans="1:17">
      <c r="A65" s="170">
        <v>42396</v>
      </c>
      <c r="B65" s="168" t="s">
        <v>622</v>
      </c>
      <c r="C65" s="186" t="s">
        <v>625</v>
      </c>
      <c r="D65" s="166"/>
      <c r="E65" s="192"/>
      <c r="M65" s="166">
        <v>42451</v>
      </c>
      <c r="N65" s="176" t="s">
        <v>622</v>
      </c>
      <c r="O65" s="186" t="s">
        <v>626</v>
      </c>
      <c r="P65" s="166"/>
      <c r="Q65" s="192"/>
    </row>
    <row r="66" spans="1:17">
      <c r="A66" s="170">
        <v>42396</v>
      </c>
      <c r="B66" s="168" t="s">
        <v>622</v>
      </c>
      <c r="C66" s="186" t="s">
        <v>623</v>
      </c>
      <c r="D66" s="166"/>
      <c r="E66" s="192"/>
      <c r="M66" s="166">
        <v>42452</v>
      </c>
      <c r="N66" s="176" t="s">
        <v>622</v>
      </c>
      <c r="O66" s="186" t="s">
        <v>623</v>
      </c>
      <c r="P66" s="166"/>
      <c r="Q66" s="192"/>
    </row>
    <row r="67" spans="1:17">
      <c r="A67" s="166">
        <v>42398</v>
      </c>
      <c r="B67" s="168" t="s">
        <v>622</v>
      </c>
      <c r="C67" s="186" t="s">
        <v>639</v>
      </c>
      <c r="D67" s="166"/>
      <c r="E67" s="192"/>
      <c r="M67" s="166">
        <v>42460</v>
      </c>
      <c r="N67" s="176" t="s">
        <v>622</v>
      </c>
      <c r="O67" s="186" t="s">
        <v>639</v>
      </c>
      <c r="P67" s="166"/>
      <c r="Q67" s="192"/>
    </row>
    <row r="68" spans="1:17" ht="22.5">
      <c r="A68" s="166">
        <v>42395</v>
      </c>
      <c r="B68" s="168" t="s">
        <v>622</v>
      </c>
      <c r="C68" s="188" t="s">
        <v>630</v>
      </c>
      <c r="D68" s="166"/>
      <c r="E68" s="192"/>
      <c r="M68" s="166">
        <v>42459</v>
      </c>
      <c r="N68" s="176" t="s">
        <v>622</v>
      </c>
      <c r="O68" s="186" t="s">
        <v>639</v>
      </c>
      <c r="P68" s="166"/>
      <c r="Q68" s="192"/>
    </row>
    <row r="69" spans="1:17" ht="22.5">
      <c r="A69" s="166">
        <v>42395</v>
      </c>
      <c r="B69" s="168" t="s">
        <v>622</v>
      </c>
      <c r="C69" s="186" t="s">
        <v>626</v>
      </c>
      <c r="D69" s="166"/>
      <c r="E69" s="192"/>
      <c r="M69" s="166">
        <v>42459</v>
      </c>
      <c r="N69" s="176" t="s">
        <v>622</v>
      </c>
      <c r="O69" s="186" t="s">
        <v>626</v>
      </c>
      <c r="P69" s="166"/>
      <c r="Q69" s="192"/>
    </row>
    <row r="70" spans="1:17">
      <c r="A70" s="166">
        <v>42391</v>
      </c>
      <c r="B70" s="168" t="s">
        <v>622</v>
      </c>
      <c r="C70" s="186" t="s">
        <v>639</v>
      </c>
      <c r="D70" s="166"/>
      <c r="E70" s="192"/>
      <c r="M70" s="166">
        <v>42458</v>
      </c>
      <c r="N70" s="176" t="s">
        <v>622</v>
      </c>
      <c r="O70" s="186" t="s">
        <v>623</v>
      </c>
      <c r="P70" s="166"/>
      <c r="Q70" s="192"/>
    </row>
    <row r="71" spans="1:17" ht="22.5">
      <c r="A71" s="166">
        <v>42391</v>
      </c>
      <c r="B71" s="168" t="s">
        <v>622</v>
      </c>
      <c r="C71" s="186" t="s">
        <v>623</v>
      </c>
      <c r="D71" s="166"/>
      <c r="E71" s="192"/>
      <c r="M71" s="166">
        <v>42445</v>
      </c>
      <c r="N71" s="176" t="s">
        <v>622</v>
      </c>
      <c r="O71" s="186" t="s">
        <v>631</v>
      </c>
      <c r="P71" s="166"/>
      <c r="Q71" s="192"/>
    </row>
    <row r="72" spans="1:17" ht="22.5">
      <c r="A72" s="166">
        <v>42391</v>
      </c>
      <c r="B72" s="168" t="s">
        <v>622</v>
      </c>
      <c r="C72" s="188" t="s">
        <v>630</v>
      </c>
      <c r="D72" s="166">
        <v>42410</v>
      </c>
      <c r="E72" s="198">
        <f>D72-A72</f>
        <v>19</v>
      </c>
      <c r="M72" s="166">
        <v>42445</v>
      </c>
      <c r="N72" s="176" t="s">
        <v>622</v>
      </c>
      <c r="O72" s="186" t="s">
        <v>626</v>
      </c>
      <c r="P72" s="166"/>
      <c r="Q72" s="192"/>
    </row>
    <row r="73" spans="1:17" ht="22.5">
      <c r="A73" s="166">
        <v>42391</v>
      </c>
      <c r="B73" s="168" t="s">
        <v>622</v>
      </c>
      <c r="C73" s="186" t="s">
        <v>631</v>
      </c>
      <c r="D73" s="166"/>
      <c r="E73" s="192"/>
      <c r="M73" s="166">
        <v>42445</v>
      </c>
      <c r="N73" s="176" t="s">
        <v>622</v>
      </c>
      <c r="O73" s="186" t="s">
        <v>623</v>
      </c>
      <c r="P73" s="166"/>
      <c r="Q73" s="192"/>
    </row>
    <row r="74" spans="1:17" ht="22.5">
      <c r="A74" s="166">
        <v>42391</v>
      </c>
      <c r="B74" s="168" t="s">
        <v>622</v>
      </c>
      <c r="C74" s="186" t="s">
        <v>626</v>
      </c>
      <c r="D74" s="166"/>
      <c r="E74" s="192"/>
      <c r="M74" s="166">
        <v>42446</v>
      </c>
      <c r="N74" s="176" t="s">
        <v>622</v>
      </c>
      <c r="O74" s="186" t="s">
        <v>626</v>
      </c>
      <c r="P74" s="166"/>
      <c r="Q74" s="192"/>
    </row>
    <row r="75" spans="1:17" ht="22.5">
      <c r="A75" s="166">
        <v>42392</v>
      </c>
      <c r="B75" s="168" t="s">
        <v>622</v>
      </c>
      <c r="C75" s="186" t="s">
        <v>631</v>
      </c>
      <c r="D75" s="166"/>
      <c r="E75" s="192"/>
      <c r="M75" s="166">
        <v>42446</v>
      </c>
      <c r="N75" s="176" t="s">
        <v>622</v>
      </c>
      <c r="O75" s="186" t="s">
        <v>623</v>
      </c>
      <c r="P75" s="166"/>
      <c r="Q75" s="192"/>
    </row>
    <row r="76" spans="1:17" ht="22.5">
      <c r="A76" s="166">
        <v>42395</v>
      </c>
      <c r="B76" s="168" t="s">
        <v>622</v>
      </c>
      <c r="C76" s="186" t="s">
        <v>638</v>
      </c>
      <c r="D76" s="166"/>
      <c r="E76" s="192"/>
      <c r="M76" s="166">
        <v>42450</v>
      </c>
      <c r="N76" s="176" t="s">
        <v>622</v>
      </c>
      <c r="O76" s="186" t="s">
        <v>643</v>
      </c>
      <c r="P76" s="166"/>
      <c r="Q76" s="192"/>
    </row>
    <row r="77" spans="1:17" ht="22.5">
      <c r="A77" s="166">
        <v>42399</v>
      </c>
      <c r="B77" s="168" t="s">
        <v>622</v>
      </c>
      <c r="C77" s="186" t="s">
        <v>638</v>
      </c>
      <c r="D77" s="166"/>
      <c r="E77" s="192"/>
      <c r="M77" s="166">
        <v>42454</v>
      </c>
      <c r="N77" s="176" t="s">
        <v>622</v>
      </c>
      <c r="O77" s="186" t="s">
        <v>623</v>
      </c>
      <c r="P77" s="166"/>
      <c r="Q77" s="192"/>
    </row>
    <row r="78" spans="1:17">
      <c r="A78" s="166">
        <v>42395</v>
      </c>
      <c r="B78" s="168" t="s">
        <v>622</v>
      </c>
      <c r="C78" s="188" t="s">
        <v>623</v>
      </c>
      <c r="D78" s="166"/>
      <c r="E78" s="192"/>
      <c r="M78" s="166">
        <v>42452</v>
      </c>
      <c r="N78" s="176" t="s">
        <v>622</v>
      </c>
      <c r="O78" s="186" t="s">
        <v>623</v>
      </c>
      <c r="P78" s="166"/>
      <c r="Q78" s="192"/>
    </row>
    <row r="79" spans="1:17" ht="22.5">
      <c r="A79" s="166">
        <v>42395</v>
      </c>
      <c r="B79" s="168" t="s">
        <v>622</v>
      </c>
      <c r="C79" s="186" t="s">
        <v>626</v>
      </c>
      <c r="D79" s="166"/>
      <c r="E79" s="192"/>
      <c r="M79" s="166">
        <v>42447</v>
      </c>
      <c r="N79" s="176" t="s">
        <v>622</v>
      </c>
      <c r="O79" s="186" t="s">
        <v>629</v>
      </c>
      <c r="P79" s="166"/>
      <c r="Q79" s="192"/>
    </row>
    <row r="80" spans="1:17" ht="22.5">
      <c r="A80" s="166">
        <v>42395</v>
      </c>
      <c r="B80" s="168" t="s">
        <v>622</v>
      </c>
      <c r="C80" s="186" t="s">
        <v>626</v>
      </c>
      <c r="D80" s="166"/>
      <c r="E80" s="192"/>
      <c r="M80" s="166">
        <v>42447</v>
      </c>
      <c r="N80" s="176" t="s">
        <v>622</v>
      </c>
      <c r="O80" s="186" t="s">
        <v>631</v>
      </c>
      <c r="P80" s="166"/>
      <c r="Q80" s="192"/>
    </row>
    <row r="81" spans="1:17" ht="22.5">
      <c r="A81" s="166">
        <v>42399</v>
      </c>
      <c r="B81" s="168" t="s">
        <v>622</v>
      </c>
      <c r="C81" s="188" t="s">
        <v>623</v>
      </c>
      <c r="D81" s="166"/>
      <c r="E81" s="192"/>
      <c r="M81" s="166">
        <v>42447</v>
      </c>
      <c r="N81" s="176" t="s">
        <v>622</v>
      </c>
      <c r="O81" s="186" t="s">
        <v>631</v>
      </c>
      <c r="P81" s="166"/>
      <c r="Q81" s="192"/>
    </row>
    <row r="82" spans="1:17">
      <c r="A82" s="166">
        <v>42399</v>
      </c>
      <c r="B82" s="168" t="s">
        <v>622</v>
      </c>
      <c r="C82" s="188" t="s">
        <v>623</v>
      </c>
      <c r="D82" s="166"/>
      <c r="E82" s="192"/>
      <c r="M82" s="166">
        <v>42447</v>
      </c>
      <c r="N82" s="176" t="s">
        <v>622</v>
      </c>
      <c r="O82" s="186" t="s">
        <v>626</v>
      </c>
      <c r="P82" s="166"/>
      <c r="Q82" s="192"/>
    </row>
    <row r="83" spans="1:17" ht="22.5">
      <c r="A83" s="166">
        <v>42399</v>
      </c>
      <c r="B83" s="168" t="s">
        <v>622</v>
      </c>
      <c r="C83" s="186" t="s">
        <v>628</v>
      </c>
      <c r="D83" s="166"/>
      <c r="E83" s="192"/>
      <c r="M83" s="166">
        <v>42451</v>
      </c>
      <c r="N83" s="176" t="s">
        <v>622</v>
      </c>
      <c r="O83" s="186" t="s">
        <v>626</v>
      </c>
      <c r="P83" s="166"/>
      <c r="Q83" s="192"/>
    </row>
    <row r="84" spans="1:17" ht="22.5">
      <c r="A84" s="166">
        <v>42399</v>
      </c>
      <c r="B84" s="168" t="s">
        <v>622</v>
      </c>
      <c r="C84" s="186" t="s">
        <v>628</v>
      </c>
      <c r="D84" s="166"/>
      <c r="E84" s="192"/>
      <c r="M84" s="166">
        <v>42451</v>
      </c>
      <c r="N84" s="176" t="s">
        <v>622</v>
      </c>
      <c r="O84" s="186" t="s">
        <v>643</v>
      </c>
      <c r="P84" s="166"/>
      <c r="Q84" s="192"/>
    </row>
    <row r="85" spans="1:17" ht="22.5">
      <c r="A85" s="166">
        <v>42399</v>
      </c>
      <c r="B85" s="168" t="s">
        <v>622</v>
      </c>
      <c r="C85" s="186" t="s">
        <v>626</v>
      </c>
      <c r="D85" s="166"/>
      <c r="E85" s="192"/>
      <c r="M85" s="166">
        <v>42451</v>
      </c>
      <c r="N85" s="176" t="s">
        <v>622</v>
      </c>
      <c r="O85" s="186" t="s">
        <v>630</v>
      </c>
      <c r="P85" s="166"/>
      <c r="Q85" s="192"/>
    </row>
    <row r="86" spans="1:17" ht="22.5">
      <c r="A86" s="166">
        <v>42398</v>
      </c>
      <c r="B86" s="168" t="s">
        <v>622</v>
      </c>
      <c r="C86" s="186" t="s">
        <v>623</v>
      </c>
      <c r="D86" s="166"/>
      <c r="E86" s="192"/>
      <c r="M86" s="166">
        <v>42452</v>
      </c>
      <c r="N86" s="176" t="s">
        <v>622</v>
      </c>
      <c r="O86" s="186" t="s">
        <v>643</v>
      </c>
      <c r="P86" s="166"/>
      <c r="Q86" s="192"/>
    </row>
    <row r="87" spans="1:17">
      <c r="A87" s="166">
        <v>42398</v>
      </c>
      <c r="B87" s="168" t="s">
        <v>622</v>
      </c>
      <c r="C87" s="186" t="s">
        <v>623</v>
      </c>
      <c r="D87" s="166"/>
      <c r="E87" s="192"/>
      <c r="M87" s="166">
        <v>42460</v>
      </c>
      <c r="N87" s="176" t="s">
        <v>622</v>
      </c>
      <c r="O87" s="186" t="s">
        <v>625</v>
      </c>
      <c r="P87" s="166"/>
      <c r="Q87" s="192"/>
    </row>
    <row r="88" spans="1:17" ht="22.5">
      <c r="A88" s="166">
        <v>42398</v>
      </c>
      <c r="B88" s="168" t="s">
        <v>622</v>
      </c>
      <c r="C88" s="188" t="s">
        <v>630</v>
      </c>
      <c r="D88" s="166"/>
      <c r="E88" s="192"/>
      <c r="M88" s="166">
        <v>42459</v>
      </c>
      <c r="N88" s="176" t="s">
        <v>622</v>
      </c>
      <c r="O88" s="186" t="s">
        <v>627</v>
      </c>
      <c r="P88" s="166"/>
      <c r="Q88" s="192"/>
    </row>
    <row r="89" spans="1:17" ht="22.5">
      <c r="M89" s="166">
        <v>42459</v>
      </c>
      <c r="N89" s="176" t="s">
        <v>622</v>
      </c>
      <c r="O89" s="186" t="s">
        <v>638</v>
      </c>
      <c r="P89" s="166"/>
      <c r="Q89" s="192"/>
    </row>
    <row r="90" spans="1:17">
      <c r="M90" s="166">
        <v>42458</v>
      </c>
      <c r="N90" s="176" t="s">
        <v>622</v>
      </c>
      <c r="O90" s="186" t="s">
        <v>639</v>
      </c>
      <c r="P90" s="166"/>
      <c r="Q90" s="192"/>
    </row>
  </sheetData>
  <mergeCells count="3">
    <mergeCell ref="A2:E2"/>
    <mergeCell ref="G2:K2"/>
    <mergeCell ref="M2:Q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93"/>
  <sheetViews>
    <sheetView topLeftCell="A52" zoomScaleNormal="100" workbookViewId="0">
      <selection activeCell="J27" sqref="J27"/>
    </sheetView>
  </sheetViews>
  <sheetFormatPr defaultRowHeight="12.75"/>
  <cols>
    <col min="1" max="1" width="16.85546875" customWidth="1"/>
    <col min="2" max="2" width="11.42578125" customWidth="1"/>
    <col min="3" max="3" width="15.28515625" customWidth="1"/>
    <col min="4" max="4" width="11.42578125" customWidth="1"/>
    <col min="5" max="5" width="8" customWidth="1"/>
    <col min="6" max="256" width="11.42578125" customWidth="1"/>
  </cols>
  <sheetData>
    <row r="1" spans="1:17">
      <c r="A1" s="363" t="s">
        <v>650</v>
      </c>
      <c r="B1" s="363"/>
      <c r="C1" s="363"/>
      <c r="D1" s="363"/>
      <c r="E1" s="363"/>
      <c r="G1" s="363" t="s">
        <v>651</v>
      </c>
      <c r="H1" s="363"/>
      <c r="I1" s="363"/>
      <c r="J1" s="363"/>
      <c r="K1" s="363"/>
      <c r="M1" s="363" t="s">
        <v>652</v>
      </c>
      <c r="N1" s="363"/>
      <c r="O1" s="363"/>
      <c r="P1" s="363"/>
      <c r="Q1" s="363"/>
    </row>
    <row r="2" spans="1:17" ht="25.5">
      <c r="A2" s="179" t="s">
        <v>617</v>
      </c>
      <c r="B2" s="179" t="s">
        <v>618</v>
      </c>
      <c r="C2" s="187" t="s">
        <v>619</v>
      </c>
      <c r="D2" s="179" t="s">
        <v>653</v>
      </c>
      <c r="E2" s="179" t="s">
        <v>621</v>
      </c>
      <c r="G2" s="179" t="s">
        <v>617</v>
      </c>
      <c r="H2" s="179" t="s">
        <v>618</v>
      </c>
      <c r="I2" s="187" t="s">
        <v>619</v>
      </c>
      <c r="J2" s="179" t="s">
        <v>653</v>
      </c>
      <c r="K2" s="179" t="s">
        <v>621</v>
      </c>
      <c r="M2" s="179" t="s">
        <v>617</v>
      </c>
      <c r="N2" s="179" t="s">
        <v>618</v>
      </c>
      <c r="O2" s="187" t="s">
        <v>619</v>
      </c>
      <c r="P2" s="179" t="s">
        <v>653</v>
      </c>
      <c r="Q2" s="179" t="s">
        <v>621</v>
      </c>
    </row>
    <row r="3" spans="1:17">
      <c r="A3" s="166">
        <v>42383</v>
      </c>
      <c r="B3" s="168" t="s">
        <v>654</v>
      </c>
      <c r="C3" s="186" t="s">
        <v>655</v>
      </c>
      <c r="D3" s="166">
        <v>42384</v>
      </c>
      <c r="E3" s="191">
        <f t="shared" ref="E3:E8" si="0">D3-A3</f>
        <v>1</v>
      </c>
      <c r="G3" s="166">
        <v>42401</v>
      </c>
      <c r="H3" s="168" t="s">
        <v>656</v>
      </c>
      <c r="I3" s="186" t="s">
        <v>657</v>
      </c>
      <c r="J3" s="166">
        <v>42403</v>
      </c>
      <c r="K3" s="191">
        <f t="shared" ref="K3:K40" si="1">J3-G3</f>
        <v>2</v>
      </c>
      <c r="M3" s="166">
        <v>42430</v>
      </c>
      <c r="N3" s="168" t="s">
        <v>658</v>
      </c>
      <c r="O3" s="186" t="s">
        <v>657</v>
      </c>
      <c r="P3" s="166">
        <v>42433</v>
      </c>
      <c r="Q3" s="191">
        <f t="shared" ref="Q3:Q53" si="2">P3-M3</f>
        <v>3</v>
      </c>
    </row>
    <row r="4" spans="1:17" ht="22.5">
      <c r="A4" s="166">
        <v>42387</v>
      </c>
      <c r="B4" s="168" t="s">
        <v>659</v>
      </c>
      <c r="C4" s="186" t="s">
        <v>657</v>
      </c>
      <c r="D4" s="166">
        <v>42389</v>
      </c>
      <c r="E4" s="191">
        <f t="shared" si="0"/>
        <v>2</v>
      </c>
      <c r="G4" s="166">
        <v>42401</v>
      </c>
      <c r="H4" s="168" t="s">
        <v>660</v>
      </c>
      <c r="I4" s="186" t="s">
        <v>655</v>
      </c>
      <c r="J4" s="166">
        <v>42403</v>
      </c>
      <c r="K4" s="191">
        <f t="shared" si="1"/>
        <v>2</v>
      </c>
      <c r="M4" s="166">
        <v>42430</v>
      </c>
      <c r="N4" s="168" t="s">
        <v>661</v>
      </c>
      <c r="O4" s="186" t="s">
        <v>657</v>
      </c>
      <c r="P4" s="166">
        <v>42440</v>
      </c>
      <c r="Q4" s="192">
        <f t="shared" si="2"/>
        <v>10</v>
      </c>
    </row>
    <row r="5" spans="1:17">
      <c r="A5" s="166">
        <v>42387</v>
      </c>
      <c r="B5" s="168" t="s">
        <v>662</v>
      </c>
      <c r="C5" s="186" t="s">
        <v>657</v>
      </c>
      <c r="D5" s="166">
        <v>42388</v>
      </c>
      <c r="E5" s="191">
        <f t="shared" si="0"/>
        <v>1</v>
      </c>
      <c r="G5" s="166">
        <v>42401</v>
      </c>
      <c r="H5" s="168" t="s">
        <v>663</v>
      </c>
      <c r="I5" s="186" t="s">
        <v>657</v>
      </c>
      <c r="J5" s="166">
        <v>42403</v>
      </c>
      <c r="K5" s="191">
        <f t="shared" si="1"/>
        <v>2</v>
      </c>
      <c r="M5" s="166">
        <v>42430</v>
      </c>
      <c r="N5" s="168" t="s">
        <v>664</v>
      </c>
      <c r="O5" s="186" t="s">
        <v>657</v>
      </c>
      <c r="P5" s="166">
        <v>42440</v>
      </c>
      <c r="Q5" s="192">
        <f t="shared" si="2"/>
        <v>10</v>
      </c>
    </row>
    <row r="6" spans="1:17" ht="22.5">
      <c r="A6" s="166">
        <v>42387</v>
      </c>
      <c r="B6" s="168" t="s">
        <v>665</v>
      </c>
      <c r="C6" s="186" t="s">
        <v>655</v>
      </c>
      <c r="D6" s="166">
        <v>42389</v>
      </c>
      <c r="E6" s="191">
        <f t="shared" si="0"/>
        <v>2</v>
      </c>
      <c r="G6" s="166">
        <v>42401</v>
      </c>
      <c r="H6" s="168" t="s">
        <v>666</v>
      </c>
      <c r="I6" s="186" t="s">
        <v>655</v>
      </c>
      <c r="J6" s="166">
        <v>42402</v>
      </c>
      <c r="K6" s="191">
        <f t="shared" si="1"/>
        <v>1</v>
      </c>
      <c r="M6" s="166">
        <v>42430</v>
      </c>
      <c r="N6" s="168" t="s">
        <v>667</v>
      </c>
      <c r="O6" s="186" t="s">
        <v>655</v>
      </c>
      <c r="P6" s="166">
        <v>42432</v>
      </c>
      <c r="Q6" s="191">
        <f t="shared" si="2"/>
        <v>2</v>
      </c>
    </row>
    <row r="7" spans="1:17" ht="33.75">
      <c r="A7" s="166">
        <v>42389</v>
      </c>
      <c r="B7" s="168" t="s">
        <v>668</v>
      </c>
      <c r="C7" s="186" t="s">
        <v>655</v>
      </c>
      <c r="D7" s="166">
        <v>42390</v>
      </c>
      <c r="E7" s="191">
        <f t="shared" si="0"/>
        <v>1</v>
      </c>
      <c r="G7" s="166">
        <v>42401</v>
      </c>
      <c r="H7" s="168" t="s">
        <v>669</v>
      </c>
      <c r="I7" s="186" t="s">
        <v>657</v>
      </c>
      <c r="J7" s="166">
        <v>42403</v>
      </c>
      <c r="K7" s="191">
        <f t="shared" si="1"/>
        <v>2</v>
      </c>
      <c r="M7" s="166">
        <v>42430</v>
      </c>
      <c r="N7" s="168" t="s">
        <v>670</v>
      </c>
      <c r="O7" s="186" t="s">
        <v>671</v>
      </c>
      <c r="P7" s="166">
        <v>42432</v>
      </c>
      <c r="Q7" s="191">
        <f t="shared" si="2"/>
        <v>2</v>
      </c>
    </row>
    <row r="8" spans="1:17">
      <c r="A8" s="166">
        <v>42397</v>
      </c>
      <c r="B8" s="168" t="s">
        <v>672</v>
      </c>
      <c r="C8" s="186" t="s">
        <v>657</v>
      </c>
      <c r="D8" s="166">
        <v>42398</v>
      </c>
      <c r="E8" s="191">
        <f t="shared" si="0"/>
        <v>1</v>
      </c>
      <c r="G8" s="166">
        <v>42401</v>
      </c>
      <c r="H8" s="168" t="s">
        <v>673</v>
      </c>
      <c r="I8" s="186" t="s">
        <v>657</v>
      </c>
      <c r="J8" s="166">
        <v>42403</v>
      </c>
      <c r="K8" s="191">
        <f t="shared" si="1"/>
        <v>2</v>
      </c>
      <c r="M8" s="166">
        <v>42430</v>
      </c>
      <c r="N8" s="168" t="s">
        <v>674</v>
      </c>
      <c r="O8" s="186" t="s">
        <v>657</v>
      </c>
      <c r="P8" s="166">
        <v>42433</v>
      </c>
      <c r="Q8" s="191">
        <f t="shared" si="2"/>
        <v>3</v>
      </c>
    </row>
    <row r="9" spans="1:17">
      <c r="A9" s="166">
        <v>42389</v>
      </c>
      <c r="B9" s="168" t="s">
        <v>675</v>
      </c>
      <c r="C9" s="186" t="s">
        <v>655</v>
      </c>
      <c r="D9" s="166">
        <v>42398</v>
      </c>
      <c r="E9" s="192">
        <f t="shared" ref="E9:E16" si="3">D9-A9</f>
        <v>9</v>
      </c>
      <c r="G9" s="166">
        <v>42402</v>
      </c>
      <c r="H9" s="168" t="s">
        <v>676</v>
      </c>
      <c r="I9" s="186" t="s">
        <v>657</v>
      </c>
      <c r="J9" s="166">
        <v>42403</v>
      </c>
      <c r="K9" s="191">
        <f t="shared" si="1"/>
        <v>1</v>
      </c>
      <c r="M9" s="166">
        <v>42433</v>
      </c>
      <c r="N9" s="168" t="s">
        <v>677</v>
      </c>
      <c r="O9" s="186" t="s">
        <v>657</v>
      </c>
      <c r="P9" s="166">
        <v>42436</v>
      </c>
      <c r="Q9" s="191">
        <f t="shared" si="2"/>
        <v>3</v>
      </c>
    </row>
    <row r="10" spans="1:17" ht="22.5">
      <c r="A10" s="166">
        <v>42397</v>
      </c>
      <c r="B10" s="168" t="s">
        <v>678</v>
      </c>
      <c r="C10" s="186" t="s">
        <v>655</v>
      </c>
      <c r="D10" s="166">
        <v>42401</v>
      </c>
      <c r="E10" s="191">
        <f t="shared" si="3"/>
        <v>4</v>
      </c>
      <c r="G10" s="166">
        <v>42403</v>
      </c>
      <c r="H10" s="168" t="s">
        <v>624</v>
      </c>
      <c r="I10" s="186" t="s">
        <v>625</v>
      </c>
      <c r="J10" s="166">
        <v>42408</v>
      </c>
      <c r="K10" s="191">
        <f t="shared" si="1"/>
        <v>5</v>
      </c>
      <c r="M10" s="166">
        <v>42433</v>
      </c>
      <c r="N10" s="168" t="s">
        <v>679</v>
      </c>
      <c r="O10" s="186" t="s">
        <v>657</v>
      </c>
      <c r="P10" s="166">
        <v>42436</v>
      </c>
      <c r="Q10" s="191">
        <f t="shared" si="2"/>
        <v>3</v>
      </c>
    </row>
    <row r="11" spans="1:17" ht="33.75">
      <c r="A11" s="166">
        <v>42397</v>
      </c>
      <c r="B11" s="168" t="s">
        <v>680</v>
      </c>
      <c r="C11" s="186" t="s">
        <v>681</v>
      </c>
      <c r="D11" s="166">
        <v>42401</v>
      </c>
      <c r="E11" s="191">
        <f t="shared" si="3"/>
        <v>4</v>
      </c>
      <c r="G11" s="166">
        <v>42403</v>
      </c>
      <c r="H11" s="168" t="s">
        <v>682</v>
      </c>
      <c r="I11" s="186" t="s">
        <v>683</v>
      </c>
      <c r="J11" s="166">
        <v>42412</v>
      </c>
      <c r="K11" s="192">
        <f t="shared" si="1"/>
        <v>9</v>
      </c>
      <c r="M11" s="166">
        <v>42431</v>
      </c>
      <c r="N11" s="168" t="s">
        <v>684</v>
      </c>
      <c r="O11" s="186" t="s">
        <v>685</v>
      </c>
      <c r="P11" s="166">
        <v>42433</v>
      </c>
      <c r="Q11" s="191">
        <f t="shared" si="2"/>
        <v>2</v>
      </c>
    </row>
    <row r="12" spans="1:17">
      <c r="A12" s="166">
        <v>42397</v>
      </c>
      <c r="B12" s="168" t="s">
        <v>686</v>
      </c>
      <c r="C12" s="186" t="s">
        <v>657</v>
      </c>
      <c r="D12" s="166">
        <v>42401</v>
      </c>
      <c r="E12" s="191">
        <f t="shared" si="3"/>
        <v>4</v>
      </c>
      <c r="G12" s="166">
        <v>42403</v>
      </c>
      <c r="H12" s="168" t="s">
        <v>687</v>
      </c>
      <c r="I12" s="186" t="s">
        <v>657</v>
      </c>
      <c r="J12" s="166">
        <v>42405</v>
      </c>
      <c r="K12" s="191">
        <f t="shared" si="1"/>
        <v>2</v>
      </c>
      <c r="M12" s="166">
        <v>42431</v>
      </c>
      <c r="N12" s="168" t="s">
        <v>688</v>
      </c>
      <c r="O12" s="186" t="s">
        <v>657</v>
      </c>
      <c r="P12" s="166">
        <v>42433</v>
      </c>
      <c r="Q12" s="191">
        <f t="shared" si="2"/>
        <v>2</v>
      </c>
    </row>
    <row r="13" spans="1:17" ht="22.5">
      <c r="A13" s="166">
        <v>42397</v>
      </c>
      <c r="B13" s="168" t="s">
        <v>689</v>
      </c>
      <c r="C13" s="186" t="s">
        <v>681</v>
      </c>
      <c r="D13" s="166">
        <v>42401</v>
      </c>
      <c r="E13" s="191">
        <f t="shared" si="3"/>
        <v>4</v>
      </c>
      <c r="G13" s="166">
        <v>42403</v>
      </c>
      <c r="H13" s="168" t="s">
        <v>690</v>
      </c>
      <c r="I13" s="186" t="s">
        <v>657</v>
      </c>
      <c r="J13" s="166">
        <v>42405</v>
      </c>
      <c r="K13" s="191">
        <f t="shared" si="1"/>
        <v>2</v>
      </c>
      <c r="M13" s="166">
        <v>42431</v>
      </c>
      <c r="N13" s="168" t="s">
        <v>691</v>
      </c>
      <c r="O13" s="186" t="s">
        <v>657</v>
      </c>
      <c r="P13" s="166">
        <v>42433</v>
      </c>
      <c r="Q13" s="191">
        <f t="shared" si="2"/>
        <v>2</v>
      </c>
    </row>
    <row r="14" spans="1:17" ht="22.5">
      <c r="A14" s="166">
        <v>42397</v>
      </c>
      <c r="B14" s="183" t="s">
        <v>692</v>
      </c>
      <c r="C14" s="186" t="s">
        <v>693</v>
      </c>
      <c r="D14" s="171">
        <v>42401</v>
      </c>
      <c r="E14" s="191">
        <f t="shared" si="3"/>
        <v>4</v>
      </c>
      <c r="G14" s="166">
        <v>42403</v>
      </c>
      <c r="H14" s="168" t="s">
        <v>694</v>
      </c>
      <c r="I14" s="186" t="s">
        <v>695</v>
      </c>
      <c r="J14" s="166">
        <v>42405</v>
      </c>
      <c r="K14" s="191">
        <f t="shared" si="1"/>
        <v>2</v>
      </c>
      <c r="M14" s="166">
        <v>42431</v>
      </c>
      <c r="N14" s="168" t="s">
        <v>696</v>
      </c>
      <c r="O14" s="186" t="s">
        <v>657</v>
      </c>
      <c r="P14" s="166">
        <v>42433</v>
      </c>
      <c r="Q14" s="191">
        <f t="shared" si="2"/>
        <v>2</v>
      </c>
    </row>
    <row r="15" spans="1:17" ht="22.5">
      <c r="A15" s="166">
        <v>42397</v>
      </c>
      <c r="B15" s="183" t="s">
        <v>697</v>
      </c>
      <c r="C15" s="186" t="s">
        <v>698</v>
      </c>
      <c r="D15" s="171">
        <v>42401</v>
      </c>
      <c r="E15" s="191">
        <f t="shared" si="3"/>
        <v>4</v>
      </c>
      <c r="G15" s="166">
        <v>42404</v>
      </c>
      <c r="H15" s="168" t="s">
        <v>699</v>
      </c>
      <c r="I15" s="186" t="s">
        <v>655</v>
      </c>
      <c r="J15" s="166">
        <v>42408</v>
      </c>
      <c r="K15" s="191">
        <f t="shared" si="1"/>
        <v>4</v>
      </c>
      <c r="M15" s="166">
        <v>42431</v>
      </c>
      <c r="N15" s="168" t="s">
        <v>700</v>
      </c>
      <c r="O15" s="186" t="s">
        <v>657</v>
      </c>
      <c r="P15" s="166">
        <v>42433</v>
      </c>
      <c r="Q15" s="191">
        <f t="shared" si="2"/>
        <v>2</v>
      </c>
    </row>
    <row r="16" spans="1:17">
      <c r="A16" s="166">
        <v>42397</v>
      </c>
      <c r="B16" s="168" t="s">
        <v>701</v>
      </c>
      <c r="C16" s="186" t="s">
        <v>657</v>
      </c>
      <c r="D16" s="166">
        <v>42401</v>
      </c>
      <c r="E16" s="191">
        <f t="shared" si="3"/>
        <v>4</v>
      </c>
      <c r="G16" s="166">
        <v>42404</v>
      </c>
      <c r="H16" s="168" t="s">
        <v>702</v>
      </c>
      <c r="I16" s="186" t="s">
        <v>657</v>
      </c>
      <c r="J16" s="166">
        <v>42409</v>
      </c>
      <c r="K16" s="191">
        <f t="shared" si="1"/>
        <v>5</v>
      </c>
      <c r="M16" s="166">
        <v>42433</v>
      </c>
      <c r="N16" s="168" t="s">
        <v>703</v>
      </c>
      <c r="O16" s="186" t="s">
        <v>657</v>
      </c>
      <c r="P16" s="166">
        <v>42436</v>
      </c>
      <c r="Q16" s="191">
        <f t="shared" si="2"/>
        <v>3</v>
      </c>
    </row>
    <row r="17" spans="1:17" ht="22.5">
      <c r="A17" s="166">
        <v>42398</v>
      </c>
      <c r="B17" s="168" t="s">
        <v>704</v>
      </c>
      <c r="C17" s="186" t="s">
        <v>657</v>
      </c>
      <c r="D17" s="166">
        <v>42404</v>
      </c>
      <c r="E17" s="192">
        <f>D17-A17</f>
        <v>6</v>
      </c>
      <c r="G17" s="166">
        <v>42408</v>
      </c>
      <c r="H17" s="168" t="s">
        <v>705</v>
      </c>
      <c r="I17" s="186" t="s">
        <v>706</v>
      </c>
      <c r="J17" s="166">
        <v>42412</v>
      </c>
      <c r="K17" s="191">
        <f t="shared" si="1"/>
        <v>4</v>
      </c>
      <c r="M17" s="166">
        <v>42433</v>
      </c>
      <c r="N17" s="168" t="s">
        <v>707</v>
      </c>
      <c r="O17" s="186" t="s">
        <v>657</v>
      </c>
      <c r="P17" s="166">
        <v>42436</v>
      </c>
      <c r="Q17" s="191">
        <f t="shared" si="2"/>
        <v>3</v>
      </c>
    </row>
    <row r="18" spans="1:17" ht="33.75">
      <c r="A18" s="166">
        <v>42398</v>
      </c>
      <c r="B18" s="168" t="s">
        <v>708</v>
      </c>
      <c r="C18" s="186" t="s">
        <v>657</v>
      </c>
      <c r="D18" s="166">
        <v>42404</v>
      </c>
      <c r="E18" s="192">
        <f>D18-A18</f>
        <v>6</v>
      </c>
      <c r="G18" s="166">
        <v>42409</v>
      </c>
      <c r="H18" s="168" t="s">
        <v>709</v>
      </c>
      <c r="I18" s="188" t="s">
        <v>681</v>
      </c>
      <c r="J18" s="166">
        <v>42410</v>
      </c>
      <c r="K18" s="191">
        <f t="shared" si="1"/>
        <v>1</v>
      </c>
      <c r="M18" s="166">
        <v>42433</v>
      </c>
      <c r="N18" s="168" t="s">
        <v>710</v>
      </c>
      <c r="O18" s="186" t="s">
        <v>657</v>
      </c>
      <c r="P18" s="166">
        <v>42436</v>
      </c>
      <c r="Q18" s="191">
        <f t="shared" si="2"/>
        <v>3</v>
      </c>
    </row>
    <row r="19" spans="1:17" ht="22.5">
      <c r="A19" s="166">
        <v>42373</v>
      </c>
      <c r="B19" s="168" t="s">
        <v>622</v>
      </c>
      <c r="C19" s="186" t="s">
        <v>657</v>
      </c>
      <c r="D19" s="166">
        <v>42384</v>
      </c>
      <c r="E19" s="192">
        <f>D19-A19</f>
        <v>11</v>
      </c>
      <c r="G19" s="166">
        <v>42409</v>
      </c>
      <c r="H19" s="168" t="s">
        <v>711</v>
      </c>
      <c r="I19" s="188" t="s">
        <v>657</v>
      </c>
      <c r="J19" s="166">
        <v>42410</v>
      </c>
      <c r="K19" s="191">
        <f t="shared" si="1"/>
        <v>1</v>
      </c>
      <c r="M19" s="166">
        <v>42433</v>
      </c>
      <c r="N19" s="168" t="s">
        <v>712</v>
      </c>
      <c r="O19" s="186" t="s">
        <v>655</v>
      </c>
      <c r="P19" s="166">
        <v>42436</v>
      </c>
      <c r="Q19" s="191">
        <f t="shared" si="2"/>
        <v>3</v>
      </c>
    </row>
    <row r="20" spans="1:17">
      <c r="G20" s="166">
        <v>42410</v>
      </c>
      <c r="H20" s="168" t="s">
        <v>713</v>
      </c>
      <c r="I20" s="186" t="s">
        <v>714</v>
      </c>
      <c r="J20" s="166">
        <v>42412</v>
      </c>
      <c r="K20" s="191">
        <f t="shared" si="1"/>
        <v>2</v>
      </c>
      <c r="M20" s="166">
        <v>42433</v>
      </c>
      <c r="N20" s="168" t="s">
        <v>715</v>
      </c>
      <c r="O20" s="186" t="s">
        <v>657</v>
      </c>
      <c r="P20" s="166">
        <v>42436</v>
      </c>
      <c r="Q20" s="191">
        <f t="shared" si="2"/>
        <v>3</v>
      </c>
    </row>
    <row r="21" spans="1:17" ht="45">
      <c r="G21" s="166">
        <v>42412</v>
      </c>
      <c r="H21" s="168" t="s">
        <v>716</v>
      </c>
      <c r="I21" s="186" t="s">
        <v>717</v>
      </c>
      <c r="J21" s="166">
        <v>42415</v>
      </c>
      <c r="K21" s="191">
        <f t="shared" si="1"/>
        <v>3</v>
      </c>
      <c r="M21" s="166">
        <v>42430</v>
      </c>
      <c r="N21" s="168" t="s">
        <v>622</v>
      </c>
      <c r="O21" s="186" t="s">
        <v>657</v>
      </c>
      <c r="P21" s="166">
        <v>42431</v>
      </c>
      <c r="Q21" s="191">
        <f t="shared" si="2"/>
        <v>1</v>
      </c>
    </row>
    <row r="22" spans="1:17">
      <c r="G22" s="166">
        <v>42412</v>
      </c>
      <c r="H22" s="168" t="s">
        <v>718</v>
      </c>
      <c r="I22" s="186" t="s">
        <v>657</v>
      </c>
      <c r="J22" s="166">
        <v>42412</v>
      </c>
      <c r="K22" s="191">
        <f t="shared" si="1"/>
        <v>0</v>
      </c>
      <c r="M22" s="166">
        <v>42446</v>
      </c>
      <c r="N22" s="176" t="s">
        <v>719</v>
      </c>
      <c r="O22" s="188" t="s">
        <v>657</v>
      </c>
      <c r="P22" s="166">
        <v>42457</v>
      </c>
      <c r="Q22" s="192">
        <f t="shared" si="2"/>
        <v>11</v>
      </c>
    </row>
    <row r="23" spans="1:17">
      <c r="G23" s="166">
        <v>42415</v>
      </c>
      <c r="H23" s="168" t="s">
        <v>720</v>
      </c>
      <c r="I23" s="186" t="s">
        <v>657</v>
      </c>
      <c r="J23" s="166">
        <v>42416</v>
      </c>
      <c r="K23" s="191">
        <f t="shared" si="1"/>
        <v>1</v>
      </c>
      <c r="M23" s="166">
        <v>42447</v>
      </c>
      <c r="N23" s="176" t="s">
        <v>721</v>
      </c>
      <c r="O23" s="188" t="s">
        <v>657</v>
      </c>
      <c r="P23" s="166">
        <v>42457</v>
      </c>
      <c r="Q23" s="192">
        <f t="shared" si="2"/>
        <v>10</v>
      </c>
    </row>
    <row r="24" spans="1:17">
      <c r="G24" s="166">
        <v>42415</v>
      </c>
      <c r="H24" s="168" t="s">
        <v>722</v>
      </c>
      <c r="I24" s="186" t="s">
        <v>693</v>
      </c>
      <c r="J24" s="166">
        <v>42416</v>
      </c>
      <c r="K24" s="191">
        <f t="shared" si="1"/>
        <v>1</v>
      </c>
      <c r="M24" s="166">
        <v>42437</v>
      </c>
      <c r="N24" s="176" t="s">
        <v>723</v>
      </c>
      <c r="O24" s="186" t="s">
        <v>657</v>
      </c>
      <c r="P24" s="166">
        <v>42440</v>
      </c>
      <c r="Q24" s="191">
        <f t="shared" si="2"/>
        <v>3</v>
      </c>
    </row>
    <row r="25" spans="1:17" ht="22.5">
      <c r="G25" s="166">
        <v>42415</v>
      </c>
      <c r="H25" s="168" t="s">
        <v>724</v>
      </c>
      <c r="I25" s="186" t="s">
        <v>655</v>
      </c>
      <c r="J25" s="166">
        <v>42416</v>
      </c>
      <c r="K25" s="191">
        <f t="shared" si="1"/>
        <v>1</v>
      </c>
      <c r="M25" s="166">
        <v>42437</v>
      </c>
      <c r="N25" s="168" t="s">
        <v>725</v>
      </c>
      <c r="O25" s="186" t="s">
        <v>657</v>
      </c>
      <c r="P25" s="166">
        <v>42440</v>
      </c>
      <c r="Q25" s="191">
        <f t="shared" si="2"/>
        <v>3</v>
      </c>
    </row>
    <row r="26" spans="1:17">
      <c r="G26" s="166">
        <v>42415</v>
      </c>
      <c r="H26" s="168" t="s">
        <v>726</v>
      </c>
      <c r="I26" s="186" t="s">
        <v>657</v>
      </c>
      <c r="J26" s="166">
        <v>42416</v>
      </c>
      <c r="K26" s="191">
        <f t="shared" si="1"/>
        <v>1</v>
      </c>
      <c r="M26" s="166">
        <v>42438</v>
      </c>
      <c r="N26" s="168" t="s">
        <v>727</v>
      </c>
      <c r="O26" s="186" t="s">
        <v>657</v>
      </c>
      <c r="P26" s="166">
        <v>42440</v>
      </c>
      <c r="Q26" s="191">
        <f t="shared" si="2"/>
        <v>2</v>
      </c>
    </row>
    <row r="27" spans="1:17">
      <c r="G27" s="166">
        <v>42415</v>
      </c>
      <c r="H27" s="168" t="s">
        <v>728</v>
      </c>
      <c r="I27" s="186" t="s">
        <v>693</v>
      </c>
      <c r="J27" s="166">
        <v>42416</v>
      </c>
      <c r="K27" s="191">
        <f t="shared" si="1"/>
        <v>1</v>
      </c>
      <c r="M27" s="166">
        <v>42436</v>
      </c>
      <c r="N27" s="168" t="s">
        <v>729</v>
      </c>
      <c r="O27" s="186" t="s">
        <v>657</v>
      </c>
      <c r="P27" s="166">
        <v>42440</v>
      </c>
      <c r="Q27" s="191">
        <f t="shared" si="2"/>
        <v>4</v>
      </c>
    </row>
    <row r="28" spans="1:17" ht="22.5">
      <c r="G28" s="166">
        <v>42415</v>
      </c>
      <c r="H28" s="168" t="s">
        <v>730</v>
      </c>
      <c r="I28" s="186" t="s">
        <v>657</v>
      </c>
      <c r="J28" s="166">
        <v>42416</v>
      </c>
      <c r="K28" s="191">
        <f t="shared" si="1"/>
        <v>1</v>
      </c>
      <c r="M28" s="166">
        <v>42437</v>
      </c>
      <c r="N28" s="176" t="s">
        <v>731</v>
      </c>
      <c r="O28" s="186" t="s">
        <v>655</v>
      </c>
      <c r="P28" s="166">
        <v>42439</v>
      </c>
      <c r="Q28" s="191">
        <f t="shared" si="2"/>
        <v>2</v>
      </c>
    </row>
    <row r="29" spans="1:17" ht="22.5">
      <c r="G29" s="166">
        <v>42415</v>
      </c>
      <c r="H29" s="168" t="s">
        <v>732</v>
      </c>
      <c r="I29" s="186" t="s">
        <v>693</v>
      </c>
      <c r="J29" s="166">
        <v>42416</v>
      </c>
      <c r="K29" s="191">
        <f t="shared" si="1"/>
        <v>1</v>
      </c>
      <c r="M29" s="166">
        <v>42437</v>
      </c>
      <c r="N29" s="168" t="s">
        <v>733</v>
      </c>
      <c r="O29" s="186" t="s">
        <v>655</v>
      </c>
      <c r="P29" s="166">
        <v>42439</v>
      </c>
      <c r="Q29" s="191">
        <f t="shared" si="2"/>
        <v>2</v>
      </c>
    </row>
    <row r="30" spans="1:17" ht="22.5">
      <c r="G30" s="166">
        <v>42415</v>
      </c>
      <c r="H30" s="168" t="s">
        <v>734</v>
      </c>
      <c r="I30" s="186" t="s">
        <v>685</v>
      </c>
      <c r="J30" s="166">
        <v>42418</v>
      </c>
      <c r="K30" s="191">
        <f t="shared" si="1"/>
        <v>3</v>
      </c>
      <c r="M30" s="166">
        <v>42437</v>
      </c>
      <c r="N30" s="168" t="s">
        <v>735</v>
      </c>
      <c r="O30" s="186" t="s">
        <v>655</v>
      </c>
      <c r="P30" s="166">
        <v>42439</v>
      </c>
      <c r="Q30" s="191">
        <f t="shared" si="2"/>
        <v>2</v>
      </c>
    </row>
    <row r="31" spans="1:17">
      <c r="G31" s="166">
        <v>42419</v>
      </c>
      <c r="H31" s="168" t="s">
        <v>736</v>
      </c>
      <c r="I31" s="186" t="s">
        <v>657</v>
      </c>
      <c r="J31" s="166">
        <v>42423</v>
      </c>
      <c r="K31" s="191">
        <f t="shared" si="1"/>
        <v>4</v>
      </c>
      <c r="M31" s="166">
        <v>42437</v>
      </c>
      <c r="N31" s="176" t="s">
        <v>737</v>
      </c>
      <c r="O31" s="186" t="s">
        <v>657</v>
      </c>
      <c r="P31" s="166">
        <v>42443</v>
      </c>
      <c r="Q31" s="192">
        <f t="shared" si="2"/>
        <v>6</v>
      </c>
    </row>
    <row r="32" spans="1:17" ht="22.5">
      <c r="G32" s="166">
        <v>42418</v>
      </c>
      <c r="H32" s="168" t="s">
        <v>738</v>
      </c>
      <c r="I32" s="186" t="s">
        <v>655</v>
      </c>
      <c r="J32" s="166">
        <v>42419</v>
      </c>
      <c r="K32" s="191">
        <f t="shared" si="1"/>
        <v>1</v>
      </c>
      <c r="M32" s="166">
        <v>42438</v>
      </c>
      <c r="N32" s="176" t="s">
        <v>739</v>
      </c>
      <c r="O32" s="186" t="s">
        <v>657</v>
      </c>
      <c r="P32" s="166">
        <v>42443</v>
      </c>
      <c r="Q32" s="191">
        <f t="shared" si="2"/>
        <v>5</v>
      </c>
    </row>
    <row r="33" spans="7:17">
      <c r="G33" s="166">
        <v>42415</v>
      </c>
      <c r="H33" s="168" t="s">
        <v>740</v>
      </c>
      <c r="I33" s="186" t="s">
        <v>657</v>
      </c>
      <c r="J33" s="166">
        <v>42424</v>
      </c>
      <c r="K33" s="192">
        <f t="shared" si="1"/>
        <v>9</v>
      </c>
      <c r="M33" s="166">
        <v>42439</v>
      </c>
      <c r="N33" s="176" t="s">
        <v>741</v>
      </c>
      <c r="O33" s="186" t="s">
        <v>657</v>
      </c>
      <c r="P33" s="166">
        <v>42443</v>
      </c>
      <c r="Q33" s="191">
        <f t="shared" si="2"/>
        <v>4</v>
      </c>
    </row>
    <row r="34" spans="7:17">
      <c r="G34" s="166">
        <v>42415</v>
      </c>
      <c r="H34" s="168" t="s">
        <v>742</v>
      </c>
      <c r="I34" s="186" t="s">
        <v>657</v>
      </c>
      <c r="J34" s="166">
        <v>42419</v>
      </c>
      <c r="K34" s="191">
        <f t="shared" si="1"/>
        <v>4</v>
      </c>
      <c r="M34" s="166">
        <v>42438</v>
      </c>
      <c r="N34" s="176" t="s">
        <v>743</v>
      </c>
      <c r="O34" s="186" t="s">
        <v>657</v>
      </c>
      <c r="P34" s="166">
        <v>42440</v>
      </c>
      <c r="Q34" s="191">
        <f t="shared" si="2"/>
        <v>2</v>
      </c>
    </row>
    <row r="35" spans="7:17">
      <c r="G35" s="166">
        <v>42418</v>
      </c>
      <c r="H35" s="168" t="s">
        <v>744</v>
      </c>
      <c r="I35" s="186" t="s">
        <v>657</v>
      </c>
      <c r="J35" s="166">
        <v>42419</v>
      </c>
      <c r="K35" s="191">
        <f t="shared" si="1"/>
        <v>1</v>
      </c>
      <c r="M35" s="166">
        <v>42438</v>
      </c>
      <c r="N35" s="176" t="s">
        <v>745</v>
      </c>
      <c r="O35" s="186" t="s">
        <v>657</v>
      </c>
      <c r="P35" s="166">
        <v>42439</v>
      </c>
      <c r="Q35" s="191">
        <f t="shared" si="2"/>
        <v>1</v>
      </c>
    </row>
    <row r="36" spans="7:17">
      <c r="G36" s="166">
        <v>42422</v>
      </c>
      <c r="H36" s="168" t="s">
        <v>746</v>
      </c>
      <c r="I36" s="186" t="s">
        <v>657</v>
      </c>
      <c r="J36" s="166">
        <v>42424</v>
      </c>
      <c r="K36" s="191">
        <f t="shared" si="1"/>
        <v>2</v>
      </c>
      <c r="M36" s="166">
        <v>42438</v>
      </c>
      <c r="N36" s="176" t="s">
        <v>747</v>
      </c>
      <c r="O36" s="186" t="s">
        <v>657</v>
      </c>
      <c r="P36" s="166">
        <v>42439</v>
      </c>
      <c r="Q36" s="191">
        <f t="shared" si="2"/>
        <v>1</v>
      </c>
    </row>
    <row r="37" spans="7:17">
      <c r="G37" s="166">
        <v>42419</v>
      </c>
      <c r="H37" s="168" t="s">
        <v>748</v>
      </c>
      <c r="I37" s="186" t="s">
        <v>657</v>
      </c>
      <c r="J37" s="166">
        <v>42423</v>
      </c>
      <c r="K37" s="191">
        <f t="shared" si="1"/>
        <v>4</v>
      </c>
      <c r="M37" s="166">
        <v>42443</v>
      </c>
      <c r="N37" s="176" t="s">
        <v>749</v>
      </c>
      <c r="O37" s="186" t="s">
        <v>657</v>
      </c>
      <c r="P37" s="166">
        <v>42444</v>
      </c>
      <c r="Q37" s="191">
        <f t="shared" si="2"/>
        <v>1</v>
      </c>
    </row>
    <row r="38" spans="7:17" ht="33.75">
      <c r="G38" s="166">
        <v>42423</v>
      </c>
      <c r="H38" s="168" t="s">
        <v>750</v>
      </c>
      <c r="I38" s="186" t="s">
        <v>681</v>
      </c>
      <c r="J38" s="166">
        <v>42426</v>
      </c>
      <c r="K38" s="191">
        <f t="shared" si="1"/>
        <v>3</v>
      </c>
      <c r="M38" s="166">
        <v>42444</v>
      </c>
      <c r="N38" s="176" t="s">
        <v>751</v>
      </c>
      <c r="O38" s="186" t="s">
        <v>685</v>
      </c>
      <c r="P38" s="166">
        <v>42446</v>
      </c>
      <c r="Q38" s="191">
        <f t="shared" si="2"/>
        <v>2</v>
      </c>
    </row>
    <row r="39" spans="7:17">
      <c r="G39" s="166">
        <v>42423</v>
      </c>
      <c r="H39" s="168" t="s">
        <v>752</v>
      </c>
      <c r="I39" s="186" t="s">
        <v>657</v>
      </c>
      <c r="J39" s="166">
        <v>42426</v>
      </c>
      <c r="K39" s="191">
        <f t="shared" si="1"/>
        <v>3</v>
      </c>
      <c r="M39" s="166">
        <v>42445</v>
      </c>
      <c r="N39" s="176" t="s">
        <v>753</v>
      </c>
      <c r="O39" s="186" t="s">
        <v>657</v>
      </c>
      <c r="P39" s="166">
        <v>42446</v>
      </c>
      <c r="Q39" s="191">
        <f t="shared" si="2"/>
        <v>1</v>
      </c>
    </row>
    <row r="40" spans="7:17" ht="22.5">
      <c r="G40" s="166">
        <v>42417</v>
      </c>
      <c r="H40" s="168" t="s">
        <v>754</v>
      </c>
      <c r="I40" s="186" t="s">
        <v>755</v>
      </c>
      <c r="J40" s="166">
        <v>42431</v>
      </c>
      <c r="K40" s="192">
        <f t="shared" si="1"/>
        <v>14</v>
      </c>
      <c r="M40" s="166">
        <v>42446</v>
      </c>
      <c r="N40" s="176" t="s">
        <v>756</v>
      </c>
      <c r="O40" s="186" t="s">
        <v>693</v>
      </c>
      <c r="P40" s="166">
        <v>42458</v>
      </c>
      <c r="Q40" s="192">
        <f t="shared" si="2"/>
        <v>12</v>
      </c>
    </row>
    <row r="41" spans="7:17">
      <c r="M41" s="166">
        <v>42446</v>
      </c>
      <c r="N41" s="176" t="s">
        <v>757</v>
      </c>
      <c r="O41" s="186" t="s">
        <v>657</v>
      </c>
      <c r="P41" s="166">
        <v>42458</v>
      </c>
      <c r="Q41" s="192">
        <f t="shared" si="2"/>
        <v>12</v>
      </c>
    </row>
    <row r="42" spans="7:17">
      <c r="M42" s="166">
        <v>42446</v>
      </c>
      <c r="N42" s="176" t="s">
        <v>758</v>
      </c>
      <c r="O42" s="186" t="s">
        <v>693</v>
      </c>
      <c r="P42" s="166">
        <v>42447</v>
      </c>
      <c r="Q42" s="191">
        <f t="shared" si="2"/>
        <v>1</v>
      </c>
    </row>
    <row r="43" spans="7:17">
      <c r="M43" s="166">
        <v>42446</v>
      </c>
      <c r="N43" s="176" t="s">
        <v>759</v>
      </c>
      <c r="O43" s="186" t="s">
        <v>657</v>
      </c>
      <c r="P43" s="166">
        <v>42458</v>
      </c>
      <c r="Q43" s="192">
        <f t="shared" si="2"/>
        <v>12</v>
      </c>
    </row>
    <row r="44" spans="7:17" ht="22.5">
      <c r="M44" s="166">
        <v>42457</v>
      </c>
      <c r="N44" s="176" t="s">
        <v>760</v>
      </c>
      <c r="O44" s="186" t="s">
        <v>761</v>
      </c>
      <c r="P44" s="166">
        <v>42459</v>
      </c>
      <c r="Q44" s="191">
        <f t="shared" si="2"/>
        <v>2</v>
      </c>
    </row>
    <row r="45" spans="7:17">
      <c r="M45" s="166">
        <v>42457</v>
      </c>
      <c r="N45" s="176" t="s">
        <v>762</v>
      </c>
      <c r="O45" s="186" t="s">
        <v>657</v>
      </c>
      <c r="P45" s="166">
        <v>42458</v>
      </c>
      <c r="Q45" s="191">
        <f t="shared" si="2"/>
        <v>1</v>
      </c>
    </row>
    <row r="46" spans="7:17" ht="22.5">
      <c r="M46" s="166">
        <v>42459</v>
      </c>
      <c r="N46" s="176" t="s">
        <v>763</v>
      </c>
      <c r="O46" s="186" t="s">
        <v>655</v>
      </c>
      <c r="P46" s="166">
        <v>42461</v>
      </c>
      <c r="Q46" s="191">
        <f t="shared" si="2"/>
        <v>2</v>
      </c>
    </row>
    <row r="47" spans="7:17" ht="33.75">
      <c r="M47" s="166">
        <v>42459</v>
      </c>
      <c r="N47" s="176" t="s">
        <v>764</v>
      </c>
      <c r="O47" s="186" t="s">
        <v>683</v>
      </c>
      <c r="P47" s="166">
        <v>42461</v>
      </c>
      <c r="Q47" s="191">
        <f t="shared" si="2"/>
        <v>2</v>
      </c>
    </row>
    <row r="48" spans="7:17">
      <c r="M48" s="166">
        <v>42459</v>
      </c>
      <c r="N48" s="176" t="s">
        <v>765</v>
      </c>
      <c r="O48" s="186" t="s">
        <v>657</v>
      </c>
      <c r="P48" s="166">
        <v>42461</v>
      </c>
      <c r="Q48" s="191">
        <f t="shared" si="2"/>
        <v>2</v>
      </c>
    </row>
    <row r="49" spans="1:17">
      <c r="M49" s="166">
        <v>42459</v>
      </c>
      <c r="N49" s="176" t="s">
        <v>766</v>
      </c>
      <c r="O49" s="186" t="s">
        <v>657</v>
      </c>
      <c r="P49" s="166">
        <v>42461</v>
      </c>
      <c r="Q49" s="191">
        <f t="shared" si="2"/>
        <v>2</v>
      </c>
    </row>
    <row r="50" spans="1:17">
      <c r="M50" s="166">
        <v>42460</v>
      </c>
      <c r="N50" s="176" t="s">
        <v>767</v>
      </c>
      <c r="O50" s="186" t="s">
        <v>657</v>
      </c>
      <c r="P50" s="166">
        <v>42461</v>
      </c>
      <c r="Q50" s="191">
        <f t="shared" si="2"/>
        <v>1</v>
      </c>
    </row>
    <row r="51" spans="1:17">
      <c r="M51" s="166">
        <v>42457</v>
      </c>
      <c r="N51" s="176" t="s">
        <v>768</v>
      </c>
      <c r="O51" s="186" t="s">
        <v>657</v>
      </c>
      <c r="P51" s="166">
        <v>42461</v>
      </c>
      <c r="Q51" s="191">
        <f t="shared" si="2"/>
        <v>4</v>
      </c>
    </row>
    <row r="52" spans="1:17">
      <c r="M52" s="166">
        <v>42446</v>
      </c>
      <c r="N52" s="176" t="s">
        <v>769</v>
      </c>
      <c r="O52" s="186" t="s">
        <v>657</v>
      </c>
      <c r="P52" s="166">
        <v>42472</v>
      </c>
      <c r="Q52" s="192">
        <f t="shared" si="2"/>
        <v>26</v>
      </c>
    </row>
    <row r="53" spans="1:17">
      <c r="M53" s="166">
        <v>42459</v>
      </c>
      <c r="N53" s="168" t="s">
        <v>770</v>
      </c>
      <c r="O53" s="186" t="s">
        <v>657</v>
      </c>
      <c r="P53" s="166">
        <v>42461</v>
      </c>
      <c r="Q53" s="191">
        <f t="shared" si="2"/>
        <v>2</v>
      </c>
    </row>
    <row r="54" spans="1:17" ht="31.5" customHeight="1">
      <c r="A54" s="364" t="s">
        <v>771</v>
      </c>
      <c r="B54" s="365"/>
      <c r="C54" s="365"/>
    </row>
    <row r="55" spans="1:17">
      <c r="A55" s="162" t="s">
        <v>772</v>
      </c>
      <c r="B55" s="162" t="s">
        <v>773</v>
      </c>
      <c r="C55" s="162" t="s">
        <v>774</v>
      </c>
    </row>
    <row r="56" spans="1:17">
      <c r="A56" s="156">
        <v>13</v>
      </c>
      <c r="B56" s="156">
        <v>35</v>
      </c>
      <c r="C56" s="156">
        <v>42</v>
      </c>
    </row>
    <row r="57" spans="1:17">
      <c r="A57" s="161">
        <f>A56/17</f>
        <v>0.76470588235294112</v>
      </c>
      <c r="B57" s="161">
        <f>B56/38</f>
        <v>0.92105263157894735</v>
      </c>
      <c r="C57" s="161">
        <f>C56/51</f>
        <v>0.82352941176470584</v>
      </c>
      <c r="K57" s="162" t="s">
        <v>591</v>
      </c>
      <c r="L57" s="178">
        <f>1+2</f>
        <v>3</v>
      </c>
      <c r="M57" s="161">
        <f>L57/106</f>
        <v>2.8301886792452831E-2</v>
      </c>
    </row>
    <row r="58" spans="1:17" ht="25.5">
      <c r="K58" s="162" t="s">
        <v>592</v>
      </c>
      <c r="L58" s="178">
        <f>1+2</f>
        <v>3</v>
      </c>
      <c r="M58" s="161">
        <f t="shared" ref="M58:M64" si="4">L58/106</f>
        <v>2.8301886792452831E-2</v>
      </c>
    </row>
    <row r="59" spans="1:17" ht="25.5">
      <c r="K59" s="162" t="s">
        <v>775</v>
      </c>
      <c r="L59" s="178">
        <f>17+10+14</f>
        <v>41</v>
      </c>
      <c r="M59" s="161">
        <f t="shared" si="4"/>
        <v>0.3867924528301887</v>
      </c>
    </row>
    <row r="60" spans="1:17" ht="25.5">
      <c r="K60" s="162" t="s">
        <v>594</v>
      </c>
      <c r="L60" s="178">
        <f>1</f>
        <v>1</v>
      </c>
      <c r="M60" s="161">
        <f t="shared" si="4"/>
        <v>9.433962264150943E-3</v>
      </c>
    </row>
    <row r="61" spans="1:17">
      <c r="K61" s="162" t="s">
        <v>595</v>
      </c>
      <c r="L61" s="178">
        <f>9+2+14</f>
        <v>25</v>
      </c>
      <c r="M61" s="161">
        <f t="shared" si="4"/>
        <v>0.23584905660377359</v>
      </c>
    </row>
    <row r="62" spans="1:17">
      <c r="K62" s="162" t="s">
        <v>596</v>
      </c>
      <c r="L62" s="178">
        <f>9+5+10</f>
        <v>24</v>
      </c>
      <c r="M62" s="161">
        <f t="shared" si="4"/>
        <v>0.22641509433962265</v>
      </c>
    </row>
    <row r="63" spans="1:17" ht="38.25">
      <c r="K63" s="162" t="s">
        <v>776</v>
      </c>
      <c r="L63" s="178">
        <f>8</f>
        <v>8</v>
      </c>
      <c r="M63" s="161">
        <f t="shared" si="4"/>
        <v>7.5471698113207544E-2</v>
      </c>
    </row>
    <row r="64" spans="1:17" ht="25.5">
      <c r="K64" s="162" t="s">
        <v>777</v>
      </c>
      <c r="L64" s="178">
        <f>1</f>
        <v>1</v>
      </c>
      <c r="M64" s="161">
        <f t="shared" si="4"/>
        <v>9.433962264150943E-3</v>
      </c>
    </row>
    <row r="65" spans="1:3">
      <c r="A65" s="162" t="s">
        <v>778</v>
      </c>
      <c r="B65" s="178">
        <f>5+5+6</f>
        <v>16</v>
      </c>
      <c r="C65" s="161">
        <f>B65/106</f>
        <v>0.15094339622641509</v>
      </c>
    </row>
    <row r="66" spans="1:3" ht="38.25">
      <c r="A66" s="162" t="s">
        <v>779</v>
      </c>
      <c r="B66" s="178">
        <f>2+2</f>
        <v>4</v>
      </c>
      <c r="C66" s="161">
        <f t="shared" ref="C66:C78" si="5">B66/106</f>
        <v>3.7735849056603772E-2</v>
      </c>
    </row>
    <row r="67" spans="1:3">
      <c r="A67" s="162" t="s">
        <v>780</v>
      </c>
      <c r="B67" s="178">
        <f>1+3+2</f>
        <v>6</v>
      </c>
      <c r="C67" s="161">
        <f t="shared" si="5"/>
        <v>5.6603773584905662E-2</v>
      </c>
    </row>
    <row r="68" spans="1:3">
      <c r="A68" s="162" t="s">
        <v>781</v>
      </c>
      <c r="B68" s="178">
        <f>1</f>
        <v>1</v>
      </c>
      <c r="C68" s="161">
        <f t="shared" si="5"/>
        <v>9.433962264150943E-3</v>
      </c>
    </row>
    <row r="69" spans="1:3">
      <c r="A69" s="162" t="s">
        <v>782</v>
      </c>
      <c r="B69" s="178">
        <f>8+20+38+1</f>
        <v>67</v>
      </c>
      <c r="C69" s="161">
        <f t="shared" si="5"/>
        <v>0.63207547169811318</v>
      </c>
    </row>
    <row r="70" spans="1:3">
      <c r="A70" s="162" t="s">
        <v>783</v>
      </c>
      <c r="B70" s="178">
        <f>1+2</f>
        <v>3</v>
      </c>
      <c r="C70" s="161">
        <f t="shared" si="5"/>
        <v>2.8301886792452831E-2</v>
      </c>
    </row>
    <row r="71" spans="1:3">
      <c r="A71" s="162" t="s">
        <v>784</v>
      </c>
      <c r="B71" s="178">
        <f>1</f>
        <v>1</v>
      </c>
      <c r="C71" s="161">
        <f t="shared" si="5"/>
        <v>9.433962264150943E-3</v>
      </c>
    </row>
    <row r="72" spans="1:3" ht="25.5">
      <c r="A72" s="162" t="s">
        <v>785</v>
      </c>
      <c r="B72" s="178">
        <f>1</f>
        <v>1</v>
      </c>
      <c r="C72" s="161">
        <f t="shared" si="5"/>
        <v>9.433962264150943E-3</v>
      </c>
    </row>
    <row r="73" spans="1:3" ht="38.25">
      <c r="A73" s="162" t="s">
        <v>786</v>
      </c>
      <c r="B73" s="178">
        <f>1</f>
        <v>1</v>
      </c>
      <c r="C73" s="161">
        <f t="shared" si="5"/>
        <v>9.433962264150943E-3</v>
      </c>
    </row>
    <row r="74" spans="1:3">
      <c r="A74" s="162" t="s">
        <v>787</v>
      </c>
      <c r="B74" s="178">
        <f>1</f>
        <v>1</v>
      </c>
      <c r="C74" s="161">
        <f t="shared" si="5"/>
        <v>9.433962264150943E-3</v>
      </c>
    </row>
    <row r="75" spans="1:3">
      <c r="A75" s="162" t="s">
        <v>788</v>
      </c>
      <c r="B75" s="178">
        <f>1+1</f>
        <v>2</v>
      </c>
      <c r="C75" s="161">
        <f t="shared" si="5"/>
        <v>1.8867924528301886E-2</v>
      </c>
    </row>
    <row r="76" spans="1:3">
      <c r="A76" s="162" t="s">
        <v>789</v>
      </c>
      <c r="B76" s="178">
        <f>1</f>
        <v>1</v>
      </c>
      <c r="C76" s="161">
        <f t="shared" si="5"/>
        <v>9.433962264150943E-3</v>
      </c>
    </row>
    <row r="77" spans="1:3" ht="25.5">
      <c r="A77" s="162" t="s">
        <v>790</v>
      </c>
      <c r="B77" s="178">
        <f>1</f>
        <v>1</v>
      </c>
      <c r="C77" s="161">
        <f t="shared" si="5"/>
        <v>9.433962264150943E-3</v>
      </c>
    </row>
    <row r="78" spans="1:3">
      <c r="A78" s="162" t="s">
        <v>791</v>
      </c>
      <c r="B78" s="178">
        <f>1</f>
        <v>1</v>
      </c>
      <c r="C78" s="161">
        <f t="shared" si="5"/>
        <v>9.433962264150943E-3</v>
      </c>
    </row>
    <row r="82" spans="1:3" ht="25.5">
      <c r="A82" s="162" t="s">
        <v>792</v>
      </c>
      <c r="B82" s="178">
        <f>1+3+4</f>
        <v>8</v>
      </c>
      <c r="C82" s="161">
        <f t="shared" ref="C82:C93" si="6">B82/106</f>
        <v>7.5471698113207544E-2</v>
      </c>
    </row>
    <row r="83" spans="1:3">
      <c r="A83" s="162" t="s">
        <v>793</v>
      </c>
      <c r="B83" s="178">
        <f>5+4+12</f>
        <v>21</v>
      </c>
      <c r="C83" s="161">
        <f t="shared" si="6"/>
        <v>0.19811320754716982</v>
      </c>
    </row>
    <row r="84" spans="1:3" ht="25.5">
      <c r="A84" s="162" t="s">
        <v>794</v>
      </c>
      <c r="B84" s="178">
        <f>1+2+1+4</f>
        <v>8</v>
      </c>
      <c r="C84" s="161">
        <f t="shared" si="6"/>
        <v>7.5471698113207544E-2</v>
      </c>
    </row>
    <row r="85" spans="1:3">
      <c r="A85" s="162" t="s">
        <v>592</v>
      </c>
      <c r="B85" s="178">
        <f>1+1+1+3</f>
        <v>6</v>
      </c>
      <c r="C85" s="161">
        <f t="shared" si="6"/>
        <v>5.6603773584905662E-2</v>
      </c>
    </row>
    <row r="86" spans="1:3" ht="25.5">
      <c r="A86" s="162" t="s">
        <v>795</v>
      </c>
      <c r="B86" s="178">
        <f>1+8+6</f>
        <v>15</v>
      </c>
      <c r="C86" s="161">
        <f t="shared" si="6"/>
        <v>0.14150943396226415</v>
      </c>
    </row>
    <row r="87" spans="1:3">
      <c r="A87" s="162" t="s">
        <v>796</v>
      </c>
      <c r="B87" s="178">
        <f>3+8</f>
        <v>11</v>
      </c>
      <c r="C87" s="161">
        <f t="shared" si="6"/>
        <v>0.10377358490566038</v>
      </c>
    </row>
    <row r="88" spans="1:3">
      <c r="A88" s="162" t="s">
        <v>603</v>
      </c>
      <c r="B88" s="178">
        <f>5+7+19</f>
        <v>31</v>
      </c>
      <c r="C88" s="161">
        <f t="shared" si="6"/>
        <v>0.29245283018867924</v>
      </c>
    </row>
    <row r="89" spans="1:3" ht="25.5">
      <c r="A89" s="162" t="s">
        <v>797</v>
      </c>
      <c r="B89" s="178">
        <f>2</f>
        <v>2</v>
      </c>
      <c r="C89" s="161">
        <f t="shared" si="6"/>
        <v>1.8867924528301886E-2</v>
      </c>
    </row>
    <row r="90" spans="1:3">
      <c r="A90" s="162" t="s">
        <v>798</v>
      </c>
      <c r="B90" s="178">
        <f>1</f>
        <v>1</v>
      </c>
      <c r="C90" s="161">
        <f t="shared" si="6"/>
        <v>9.433962264150943E-3</v>
      </c>
    </row>
    <row r="91" spans="1:3" ht="25.5">
      <c r="A91" s="162" t="s">
        <v>799</v>
      </c>
      <c r="B91" s="178">
        <f>1</f>
        <v>1</v>
      </c>
      <c r="C91" s="161">
        <f t="shared" si="6"/>
        <v>9.433962264150943E-3</v>
      </c>
    </row>
    <row r="92" spans="1:3" ht="25.5">
      <c r="A92" s="162" t="s">
        <v>800</v>
      </c>
      <c r="B92" s="178">
        <f>1</f>
        <v>1</v>
      </c>
      <c r="C92" s="161">
        <f t="shared" si="6"/>
        <v>9.433962264150943E-3</v>
      </c>
    </row>
    <row r="93" spans="1:3" ht="38.25">
      <c r="A93" s="162" t="s">
        <v>801</v>
      </c>
      <c r="B93" s="178">
        <f>1</f>
        <v>1</v>
      </c>
      <c r="C93" s="161">
        <f t="shared" si="6"/>
        <v>9.433962264150943E-3</v>
      </c>
    </row>
  </sheetData>
  <mergeCells count="4">
    <mergeCell ref="A1:E1"/>
    <mergeCell ref="G1:K1"/>
    <mergeCell ref="M1:Q1"/>
    <mergeCell ref="A54:C54"/>
  </mergeCells>
  <conditionalFormatting sqref="H28:H31 H33:H34 J28">
    <cfRule type="timePeriod" dxfId="1" priority="8" timePeriod="yesterday">
      <formula>FLOOR(H28,1)=TODAY()-1</formula>
    </cfRule>
  </conditionalFormatting>
  <pageMargins left="0.7" right="0.7" top="0.75" bottom="0.75" header="0.3" footer="0.3"/>
  <pageSetup paperSize="9" scale="96" orientation="portrait" verticalDpi="599" r:id="rId1"/>
  <rowBreaks count="1" manualBreakCount="1">
    <brk id="40" max="16383" man="1"/>
  </rowBreaks>
  <colBreaks count="2" manualBreakCount="2">
    <brk id="6" max="1048575" man="1"/>
    <brk id="12"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47"/>
  <sheetViews>
    <sheetView topLeftCell="A22" workbookViewId="0">
      <selection activeCell="J27" sqref="J27"/>
    </sheetView>
  </sheetViews>
  <sheetFormatPr defaultRowHeight="12.75"/>
  <cols>
    <col min="1" max="1" width="15" customWidth="1"/>
    <col min="2" max="256" width="11.42578125" customWidth="1"/>
  </cols>
  <sheetData>
    <row r="1" spans="1:3">
      <c r="A1" s="162" t="s">
        <v>590</v>
      </c>
      <c r="B1" s="178">
        <f>1+25+107</f>
        <v>133</v>
      </c>
      <c r="C1" s="161">
        <f>B1/2907</f>
        <v>4.5751633986928102E-2</v>
      </c>
    </row>
    <row r="2" spans="1:3">
      <c r="A2" s="162" t="s">
        <v>802</v>
      </c>
      <c r="B2" s="178">
        <f>243</f>
        <v>243</v>
      </c>
      <c r="C2" s="161">
        <f t="shared" ref="C2:C8" si="0">B2/2907</f>
        <v>8.3591331269349839E-2</v>
      </c>
    </row>
    <row r="3" spans="1:3">
      <c r="A3" s="162" t="s">
        <v>595</v>
      </c>
      <c r="B3" s="178">
        <f>1+4+13</f>
        <v>18</v>
      </c>
      <c r="C3" s="161">
        <f t="shared" si="0"/>
        <v>6.1919504643962852E-3</v>
      </c>
    </row>
    <row r="4" spans="1:3">
      <c r="A4" s="162" t="s">
        <v>596</v>
      </c>
      <c r="B4" s="178">
        <f>188+483+368</f>
        <v>1039</v>
      </c>
      <c r="C4" s="161">
        <f t="shared" si="0"/>
        <v>0.35741314069487445</v>
      </c>
    </row>
    <row r="5" spans="1:3">
      <c r="A5" s="162" t="s">
        <v>597</v>
      </c>
      <c r="B5" s="178">
        <f>6+11+36</f>
        <v>53</v>
      </c>
      <c r="C5" s="161">
        <f t="shared" si="0"/>
        <v>1.8231854145166839E-2</v>
      </c>
    </row>
    <row r="6" spans="1:3">
      <c r="A6" s="162" t="s">
        <v>803</v>
      </c>
      <c r="B6" s="178">
        <f>2+1</f>
        <v>3</v>
      </c>
      <c r="C6" s="161">
        <f t="shared" si="0"/>
        <v>1.0319917440660474E-3</v>
      </c>
    </row>
    <row r="7" spans="1:3" ht="25.5">
      <c r="A7" s="162" t="s">
        <v>594</v>
      </c>
      <c r="B7" s="178">
        <f>780+630</f>
        <v>1410</v>
      </c>
      <c r="C7" s="161">
        <f t="shared" si="0"/>
        <v>0.48503611971104232</v>
      </c>
    </row>
    <row r="8" spans="1:3" ht="25.5">
      <c r="A8" s="162" t="s">
        <v>804</v>
      </c>
      <c r="B8" s="178">
        <f>8</f>
        <v>8</v>
      </c>
      <c r="C8" s="161">
        <f t="shared" si="0"/>
        <v>2.7519779841761265E-3</v>
      </c>
    </row>
    <row r="17" spans="1:7">
      <c r="A17" s="199" t="s">
        <v>805</v>
      </c>
      <c r="B17" s="178">
        <f>21+9+14</f>
        <v>44</v>
      </c>
      <c r="C17" s="161">
        <f>B17/2904</f>
        <v>1.5151515151515152E-2</v>
      </c>
    </row>
    <row r="18" spans="1:7" ht="25.5">
      <c r="A18" s="199" t="s">
        <v>806</v>
      </c>
      <c r="B18" s="178">
        <f>4+4+1</f>
        <v>9</v>
      </c>
      <c r="C18" s="161">
        <f t="shared" ref="C18:C47" si="1">B18/2904</f>
        <v>3.0991735537190084E-3</v>
      </c>
    </row>
    <row r="19" spans="1:7" ht="25.5">
      <c r="A19" s="199" t="s">
        <v>599</v>
      </c>
      <c r="B19" s="178">
        <f>1+3+1</f>
        <v>5</v>
      </c>
      <c r="C19" s="161">
        <f t="shared" si="1"/>
        <v>1.7217630853994491E-3</v>
      </c>
    </row>
    <row r="20" spans="1:7" ht="38.25">
      <c r="A20" s="199" t="s">
        <v>807</v>
      </c>
      <c r="B20" s="178">
        <f>10+10+1</f>
        <v>21</v>
      </c>
      <c r="C20" s="161">
        <f t="shared" si="1"/>
        <v>7.2314049586776862E-3</v>
      </c>
    </row>
    <row r="21" spans="1:7" ht="25.5">
      <c r="A21" s="199" t="s">
        <v>600</v>
      </c>
      <c r="B21" s="178">
        <f>256+900+595</f>
        <v>1751</v>
      </c>
      <c r="C21" s="161">
        <f t="shared" si="1"/>
        <v>0.60296143250688705</v>
      </c>
    </row>
    <row r="22" spans="1:7">
      <c r="A22" s="199" t="s">
        <v>808</v>
      </c>
      <c r="B22" s="178">
        <f>11+125+242</f>
        <v>378</v>
      </c>
      <c r="C22" s="161">
        <f t="shared" si="1"/>
        <v>0.13016528925619836</v>
      </c>
    </row>
    <row r="23" spans="1:7">
      <c r="A23" s="199" t="s">
        <v>809</v>
      </c>
      <c r="B23" s="178">
        <f>3+4+1</f>
        <v>8</v>
      </c>
      <c r="C23" s="161">
        <f t="shared" si="1"/>
        <v>2.7548209366391185E-3</v>
      </c>
    </row>
    <row r="24" spans="1:7">
      <c r="A24" s="199" t="s">
        <v>810</v>
      </c>
      <c r="B24" s="178">
        <f>2+1+2</f>
        <v>5</v>
      </c>
      <c r="C24" s="161">
        <f t="shared" si="1"/>
        <v>1.7217630853994491E-3</v>
      </c>
    </row>
    <row r="25" spans="1:7">
      <c r="A25" s="199" t="s">
        <v>609</v>
      </c>
      <c r="B25" s="178">
        <f>75+26+24</f>
        <v>125</v>
      </c>
      <c r="C25" s="161">
        <f t="shared" si="1"/>
        <v>4.3044077134986224E-2</v>
      </c>
    </row>
    <row r="26" spans="1:7">
      <c r="A26" s="199" t="s">
        <v>811</v>
      </c>
      <c r="B26" s="178">
        <f>1</f>
        <v>1</v>
      </c>
      <c r="C26" s="161">
        <f t="shared" si="1"/>
        <v>3.4435261707988982E-4</v>
      </c>
    </row>
    <row r="27" spans="1:7">
      <c r="A27" s="199" t="s">
        <v>812</v>
      </c>
      <c r="B27" s="178">
        <f>2+1</f>
        <v>3</v>
      </c>
      <c r="C27" s="161">
        <f t="shared" si="1"/>
        <v>1.0330578512396695E-3</v>
      </c>
    </row>
    <row r="28" spans="1:7" ht="25.5">
      <c r="A28" s="200" t="s">
        <v>813</v>
      </c>
      <c r="B28" s="178">
        <f>5+4+9</f>
        <v>18</v>
      </c>
      <c r="C28" s="161">
        <f t="shared" si="1"/>
        <v>6.1983471074380167E-3</v>
      </c>
    </row>
    <row r="29" spans="1:7" ht="25.5">
      <c r="A29" s="200" t="s">
        <v>814</v>
      </c>
      <c r="B29" s="178">
        <f>1+8+13</f>
        <v>22</v>
      </c>
      <c r="C29" s="161">
        <f t="shared" si="1"/>
        <v>7.575757575757576E-3</v>
      </c>
    </row>
    <row r="30" spans="1:7" ht="25.5">
      <c r="A30" s="200" t="s">
        <v>607</v>
      </c>
      <c r="B30" s="178">
        <f>8+67+47</f>
        <v>122</v>
      </c>
      <c r="C30" s="161">
        <f t="shared" si="1"/>
        <v>4.2011019283746558E-2</v>
      </c>
      <c r="E30" s="199" t="s">
        <v>805</v>
      </c>
      <c r="F30" s="178">
        <f>21+9+14</f>
        <v>44</v>
      </c>
      <c r="G30" s="161">
        <f>F30/2904</f>
        <v>1.5151515151515152E-2</v>
      </c>
    </row>
    <row r="31" spans="1:7" ht="25.5">
      <c r="A31" s="200" t="s">
        <v>592</v>
      </c>
      <c r="B31" s="178">
        <f>17+12+13</f>
        <v>42</v>
      </c>
      <c r="C31" s="161">
        <f t="shared" si="1"/>
        <v>1.4462809917355372E-2</v>
      </c>
      <c r="E31" s="199" t="s">
        <v>600</v>
      </c>
      <c r="F31" s="178">
        <f>256+900+595</f>
        <v>1751</v>
      </c>
      <c r="G31" s="161">
        <f t="shared" ref="G31:G36" si="2">F31/2904</f>
        <v>0.60296143250688705</v>
      </c>
    </row>
    <row r="32" spans="1:7" ht="25.5">
      <c r="A32" s="200" t="s">
        <v>815</v>
      </c>
      <c r="B32" s="178">
        <f>5+14+136</f>
        <v>155</v>
      </c>
      <c r="C32" s="161">
        <f t="shared" si="1"/>
        <v>5.3374655647382918E-2</v>
      </c>
      <c r="E32" s="199" t="s">
        <v>808</v>
      </c>
      <c r="F32" s="178">
        <f>11+125+242</f>
        <v>378</v>
      </c>
      <c r="G32" s="161">
        <f t="shared" si="2"/>
        <v>0.13016528925619836</v>
      </c>
    </row>
    <row r="33" spans="1:7" ht="38.25">
      <c r="A33" s="200" t="s">
        <v>816</v>
      </c>
      <c r="B33" s="178">
        <f>1+52+14</f>
        <v>67</v>
      </c>
      <c r="C33" s="161">
        <f t="shared" si="1"/>
        <v>2.3071625344352618E-2</v>
      </c>
      <c r="E33" s="199" t="s">
        <v>609</v>
      </c>
      <c r="F33" s="178">
        <f>75+26+24</f>
        <v>125</v>
      </c>
      <c r="G33" s="161">
        <f t="shared" si="2"/>
        <v>4.3044077134986224E-2</v>
      </c>
    </row>
    <row r="34" spans="1:7" ht="38.25">
      <c r="A34" s="200" t="s">
        <v>817</v>
      </c>
      <c r="B34" s="178">
        <f>3+1</f>
        <v>4</v>
      </c>
      <c r="C34" s="161">
        <f t="shared" si="1"/>
        <v>1.3774104683195593E-3</v>
      </c>
      <c r="E34" s="200" t="s">
        <v>607</v>
      </c>
      <c r="F34" s="178">
        <f>8+67+47</f>
        <v>122</v>
      </c>
      <c r="G34" s="161">
        <f t="shared" si="2"/>
        <v>4.2011019283746558E-2</v>
      </c>
    </row>
    <row r="35" spans="1:7" ht="38.25">
      <c r="A35" s="200" t="s">
        <v>818</v>
      </c>
      <c r="B35" s="178">
        <f>1</f>
        <v>1</v>
      </c>
      <c r="C35" s="161">
        <f t="shared" si="1"/>
        <v>3.4435261707988982E-4</v>
      </c>
      <c r="E35" s="200" t="s">
        <v>815</v>
      </c>
      <c r="F35" s="178">
        <f>5+14+136</f>
        <v>155</v>
      </c>
      <c r="G35" s="161">
        <f t="shared" si="2"/>
        <v>5.3374655647382918E-2</v>
      </c>
    </row>
    <row r="36" spans="1:7" ht="51">
      <c r="A36" s="200" t="s">
        <v>819</v>
      </c>
      <c r="B36" s="178">
        <f>10+2+5</f>
        <v>17</v>
      </c>
      <c r="C36" s="161">
        <f t="shared" si="1"/>
        <v>5.8539944903581269E-3</v>
      </c>
      <c r="E36" s="200" t="s">
        <v>816</v>
      </c>
      <c r="F36" s="178">
        <f>1+52+14</f>
        <v>67</v>
      </c>
      <c r="G36" s="161">
        <f t="shared" si="2"/>
        <v>2.3071625344352618E-2</v>
      </c>
    </row>
    <row r="37" spans="1:7">
      <c r="A37" s="200" t="s">
        <v>820</v>
      </c>
      <c r="B37" s="178">
        <f>1+40+2</f>
        <v>43</v>
      </c>
      <c r="C37" s="161">
        <f t="shared" si="1"/>
        <v>1.4807162534435262E-2</v>
      </c>
    </row>
    <row r="38" spans="1:7" ht="38.25">
      <c r="A38" s="200" t="s">
        <v>601</v>
      </c>
      <c r="B38" s="178">
        <f>1+1</f>
        <v>2</v>
      </c>
      <c r="C38" s="161">
        <f t="shared" si="1"/>
        <v>6.8870523415977963E-4</v>
      </c>
    </row>
    <row r="39" spans="1:7" ht="38.25">
      <c r="A39" s="200" t="s">
        <v>821</v>
      </c>
      <c r="B39" s="178">
        <f>1+3</f>
        <v>4</v>
      </c>
      <c r="C39" s="161">
        <f t="shared" si="1"/>
        <v>1.3774104683195593E-3</v>
      </c>
    </row>
    <row r="40" spans="1:7">
      <c r="A40" s="200" t="s">
        <v>822</v>
      </c>
      <c r="B40" s="178">
        <f>5+9</f>
        <v>14</v>
      </c>
      <c r="C40" s="161">
        <f t="shared" si="1"/>
        <v>4.8209366391184574E-3</v>
      </c>
    </row>
    <row r="41" spans="1:7" ht="25.5">
      <c r="A41" s="200" t="s">
        <v>823</v>
      </c>
      <c r="B41" s="178">
        <f>17+5</f>
        <v>22</v>
      </c>
      <c r="C41" s="161">
        <f t="shared" si="1"/>
        <v>7.575757575757576E-3</v>
      </c>
    </row>
    <row r="42" spans="1:7" ht="25.5">
      <c r="A42" s="200" t="s">
        <v>797</v>
      </c>
      <c r="B42" s="178">
        <f>1+1</f>
        <v>2</v>
      </c>
      <c r="C42" s="161">
        <f t="shared" si="1"/>
        <v>6.8870523415977963E-4</v>
      </c>
    </row>
    <row r="43" spans="1:7" ht="25.5">
      <c r="A43" s="200" t="s">
        <v>824</v>
      </c>
      <c r="B43" s="178">
        <f>1</f>
        <v>1</v>
      </c>
      <c r="C43" s="161">
        <f t="shared" si="1"/>
        <v>3.4435261707988982E-4</v>
      </c>
    </row>
    <row r="44" spans="1:7" ht="25.5">
      <c r="A44" s="200" t="s">
        <v>817</v>
      </c>
      <c r="B44" s="178">
        <f>1+1</f>
        <v>2</v>
      </c>
      <c r="C44" s="161">
        <f t="shared" si="1"/>
        <v>6.8870523415977963E-4</v>
      </c>
    </row>
    <row r="45" spans="1:7" ht="38.25">
      <c r="A45" s="200" t="s">
        <v>825</v>
      </c>
      <c r="B45" s="178">
        <f>3+10</f>
        <v>13</v>
      </c>
      <c r="C45" s="161">
        <f t="shared" si="1"/>
        <v>4.4765840220385676E-3</v>
      </c>
    </row>
    <row r="46" spans="1:7" ht="25.5">
      <c r="A46" s="200" t="s">
        <v>826</v>
      </c>
      <c r="B46" s="178">
        <f>1</f>
        <v>1</v>
      </c>
      <c r="C46" s="161">
        <f t="shared" si="1"/>
        <v>3.4435261707988982E-4</v>
      </c>
    </row>
    <row r="47" spans="1:7">
      <c r="A47" s="200" t="s">
        <v>827</v>
      </c>
      <c r="B47" s="178">
        <f>2</f>
        <v>2</v>
      </c>
      <c r="C47" s="161">
        <f t="shared" si="1"/>
        <v>6.8870523415977963E-4</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X100"/>
  <sheetViews>
    <sheetView workbookViewId="0">
      <selection activeCell="J27" sqref="J27"/>
    </sheetView>
  </sheetViews>
  <sheetFormatPr defaultRowHeight="12.75"/>
  <cols>
    <col min="1" max="2" width="11.42578125" customWidth="1"/>
    <col min="3" max="3" width="12.42578125" customWidth="1"/>
    <col min="4" max="7" width="11.42578125" customWidth="1"/>
    <col min="8" max="8" width="13.28515625" customWidth="1"/>
    <col min="9" max="10" width="11.42578125" customWidth="1"/>
    <col min="11" max="11" width="13" customWidth="1"/>
    <col min="12" max="18" width="11.42578125" customWidth="1"/>
    <col min="19" max="19" width="12.5703125" customWidth="1"/>
    <col min="20" max="256" width="11.42578125" customWidth="1"/>
  </cols>
  <sheetData>
    <row r="2" spans="2:24" ht="15">
      <c r="B2" s="366" t="s">
        <v>828</v>
      </c>
      <c r="C2" s="366"/>
      <c r="D2" s="366"/>
      <c r="E2" s="366"/>
      <c r="F2" s="366"/>
      <c r="G2" s="366"/>
      <c r="H2" s="366"/>
      <c r="J2" s="366" t="s">
        <v>829</v>
      </c>
      <c r="K2" s="366"/>
      <c r="L2" s="366"/>
      <c r="M2" s="366"/>
      <c r="N2" s="366"/>
      <c r="O2" s="366"/>
      <c r="P2" s="366"/>
      <c r="R2" s="366" t="s">
        <v>830</v>
      </c>
      <c r="S2" s="366"/>
      <c r="T2" s="366"/>
      <c r="U2" s="366"/>
      <c r="V2" s="366"/>
      <c r="W2" s="366"/>
      <c r="X2" s="366"/>
    </row>
    <row r="3" spans="2:24" ht="25.5">
      <c r="B3" s="179" t="s">
        <v>617</v>
      </c>
      <c r="C3" s="179" t="s">
        <v>831</v>
      </c>
      <c r="D3" s="179" t="s">
        <v>618</v>
      </c>
      <c r="E3" s="179" t="s">
        <v>832</v>
      </c>
      <c r="F3" s="179" t="s">
        <v>833</v>
      </c>
      <c r="G3" s="179" t="s">
        <v>620</v>
      </c>
      <c r="H3" s="179" t="s">
        <v>621</v>
      </c>
      <c r="J3" s="179" t="s">
        <v>617</v>
      </c>
      <c r="K3" s="179" t="s">
        <v>831</v>
      </c>
      <c r="L3" s="179" t="s">
        <v>618</v>
      </c>
      <c r="M3" s="179" t="s">
        <v>832</v>
      </c>
      <c r="N3" s="179" t="s">
        <v>833</v>
      </c>
      <c r="O3" s="179" t="s">
        <v>620</v>
      </c>
      <c r="P3" s="179" t="s">
        <v>621</v>
      </c>
      <c r="R3" s="179" t="s">
        <v>617</v>
      </c>
      <c r="S3" s="179" t="s">
        <v>831</v>
      </c>
      <c r="T3" s="179" t="s">
        <v>618</v>
      </c>
      <c r="U3" s="179" t="s">
        <v>832</v>
      </c>
      <c r="V3" s="179" t="s">
        <v>833</v>
      </c>
      <c r="W3" s="179" t="s">
        <v>620</v>
      </c>
      <c r="X3" s="179" t="s">
        <v>621</v>
      </c>
    </row>
    <row r="4" spans="2:24">
      <c r="B4" s="170">
        <v>42382</v>
      </c>
      <c r="C4" s="172" t="s">
        <v>834</v>
      </c>
      <c r="D4" s="167"/>
      <c r="E4" s="168" t="s">
        <v>835</v>
      </c>
      <c r="F4" s="168" t="s">
        <v>836</v>
      </c>
      <c r="G4" s="167"/>
      <c r="H4" s="173"/>
      <c r="J4" s="166">
        <v>42401</v>
      </c>
      <c r="K4" s="178"/>
      <c r="L4" s="168" t="s">
        <v>837</v>
      </c>
      <c r="M4" s="168" t="s">
        <v>838</v>
      </c>
      <c r="N4" s="168"/>
      <c r="O4" s="166">
        <v>42409</v>
      </c>
      <c r="P4" s="174">
        <f>O4-J4</f>
        <v>8</v>
      </c>
      <c r="R4" s="177">
        <v>42430</v>
      </c>
      <c r="S4" s="167" t="s">
        <v>839</v>
      </c>
      <c r="T4" s="168" t="s">
        <v>839</v>
      </c>
      <c r="U4" s="168" t="s">
        <v>835</v>
      </c>
      <c r="V4" s="168" t="s">
        <v>836</v>
      </c>
      <c r="W4" s="166">
        <v>42432</v>
      </c>
      <c r="X4" s="174">
        <f>W4-R4</f>
        <v>2</v>
      </c>
    </row>
    <row r="5" spans="2:24">
      <c r="B5" s="166">
        <v>42383</v>
      </c>
      <c r="C5" s="167" t="s">
        <v>840</v>
      </c>
      <c r="D5" s="168" t="s">
        <v>840</v>
      </c>
      <c r="E5" s="168" t="s">
        <v>841</v>
      </c>
      <c r="F5" s="168"/>
      <c r="G5" s="167"/>
      <c r="H5" s="173"/>
      <c r="J5" s="166">
        <v>42401</v>
      </c>
      <c r="K5" s="178"/>
      <c r="L5" s="168" t="s">
        <v>842</v>
      </c>
      <c r="M5" s="168" t="s">
        <v>835</v>
      </c>
      <c r="N5" s="168"/>
      <c r="O5" s="166"/>
      <c r="P5" s="175"/>
      <c r="R5" s="177">
        <v>42431</v>
      </c>
      <c r="S5" s="167" t="s">
        <v>843</v>
      </c>
      <c r="T5" s="168" t="s">
        <v>843</v>
      </c>
      <c r="U5" s="168" t="s">
        <v>844</v>
      </c>
      <c r="V5" s="168" t="s">
        <v>845</v>
      </c>
      <c r="W5" s="166">
        <v>42436</v>
      </c>
      <c r="X5" s="174">
        <f>W5-R5</f>
        <v>5</v>
      </c>
    </row>
    <row r="6" spans="2:24">
      <c r="B6" s="166">
        <v>42383</v>
      </c>
      <c r="C6" s="167" t="s">
        <v>846</v>
      </c>
      <c r="D6" s="168" t="s">
        <v>846</v>
      </c>
      <c r="E6" s="168" t="s">
        <v>835</v>
      </c>
      <c r="F6" s="168" t="s">
        <v>836</v>
      </c>
      <c r="G6" s="167"/>
      <c r="H6" s="173"/>
      <c r="J6" s="166">
        <v>42401</v>
      </c>
      <c r="K6" s="178"/>
      <c r="L6" s="168" t="s">
        <v>847</v>
      </c>
      <c r="M6" s="168" t="s">
        <v>848</v>
      </c>
      <c r="N6" s="168"/>
      <c r="O6" s="166">
        <v>42412</v>
      </c>
      <c r="P6" s="174">
        <f>O6-J6</f>
        <v>11</v>
      </c>
      <c r="R6" s="177">
        <v>42430</v>
      </c>
      <c r="S6" s="167" t="s">
        <v>849</v>
      </c>
      <c r="T6" s="168" t="s">
        <v>849</v>
      </c>
      <c r="U6" s="168" t="s">
        <v>850</v>
      </c>
      <c r="V6" s="168" t="s">
        <v>836</v>
      </c>
      <c r="W6" s="166">
        <v>42436</v>
      </c>
      <c r="X6" s="174">
        <f>W6-R6</f>
        <v>6</v>
      </c>
    </row>
    <row r="7" spans="2:24">
      <c r="B7" s="166">
        <v>42387</v>
      </c>
      <c r="C7" s="167" t="s">
        <v>851</v>
      </c>
      <c r="D7" s="168" t="s">
        <v>851</v>
      </c>
      <c r="E7" s="168" t="s">
        <v>835</v>
      </c>
      <c r="F7" s="168" t="s">
        <v>836</v>
      </c>
      <c r="G7" s="167"/>
      <c r="H7" s="173"/>
      <c r="J7" s="166">
        <v>42401</v>
      </c>
      <c r="K7" s="178"/>
      <c r="L7" s="168" t="s">
        <v>852</v>
      </c>
      <c r="M7" s="168" t="s">
        <v>853</v>
      </c>
      <c r="N7" s="168"/>
      <c r="O7" s="166"/>
      <c r="P7" s="175"/>
      <c r="R7" s="177">
        <v>42430</v>
      </c>
      <c r="S7" s="167" t="s">
        <v>854</v>
      </c>
      <c r="T7" s="168" t="s">
        <v>854</v>
      </c>
      <c r="U7" s="168" t="s">
        <v>855</v>
      </c>
      <c r="V7" s="168" t="s">
        <v>856</v>
      </c>
      <c r="W7" s="166">
        <v>42433</v>
      </c>
      <c r="X7" s="174">
        <f>W7-R7</f>
        <v>3</v>
      </c>
    </row>
    <row r="8" spans="2:24">
      <c r="B8" s="166">
        <v>42387</v>
      </c>
      <c r="C8" s="167" t="s">
        <v>857</v>
      </c>
      <c r="D8" s="169" t="s">
        <v>857</v>
      </c>
      <c r="E8" s="168" t="s">
        <v>835</v>
      </c>
      <c r="F8" s="168" t="s">
        <v>836</v>
      </c>
      <c r="G8" s="167"/>
      <c r="H8" s="173"/>
      <c r="J8" s="166">
        <v>42401</v>
      </c>
      <c r="K8" s="178"/>
      <c r="L8" s="168" t="s">
        <v>858</v>
      </c>
      <c r="M8" s="168" t="s">
        <v>859</v>
      </c>
      <c r="N8" s="168"/>
      <c r="O8" s="166"/>
      <c r="P8" s="175"/>
      <c r="R8" s="177">
        <v>42430</v>
      </c>
      <c r="S8" s="167" t="s">
        <v>860</v>
      </c>
      <c r="T8" s="168" t="s">
        <v>860</v>
      </c>
      <c r="U8" s="180" t="s">
        <v>861</v>
      </c>
      <c r="V8" s="181" t="s">
        <v>836</v>
      </c>
      <c r="W8" s="166"/>
      <c r="X8" s="175"/>
    </row>
    <row r="9" spans="2:24">
      <c r="B9" s="166">
        <v>42387</v>
      </c>
      <c r="C9" s="167" t="s">
        <v>862</v>
      </c>
      <c r="D9" s="168" t="s">
        <v>862</v>
      </c>
      <c r="E9" s="168" t="s">
        <v>863</v>
      </c>
      <c r="F9" s="168" t="s">
        <v>836</v>
      </c>
      <c r="G9" s="167"/>
      <c r="H9" s="173"/>
      <c r="J9" s="166">
        <v>42401</v>
      </c>
      <c r="K9" s="178"/>
      <c r="L9" s="168" t="s">
        <v>864</v>
      </c>
      <c r="M9" s="168" t="s">
        <v>844</v>
      </c>
      <c r="N9" s="168"/>
      <c r="O9" s="166">
        <v>42403</v>
      </c>
      <c r="P9" s="174">
        <f>O9-J9</f>
        <v>2</v>
      </c>
      <c r="R9" s="177">
        <v>42430</v>
      </c>
      <c r="S9" s="167" t="s">
        <v>622</v>
      </c>
      <c r="T9" s="168" t="s">
        <v>865</v>
      </c>
      <c r="U9" s="180" t="s">
        <v>866</v>
      </c>
      <c r="V9" s="181" t="s">
        <v>867</v>
      </c>
      <c r="W9" s="166"/>
      <c r="X9" s="175"/>
    </row>
    <row r="10" spans="2:24">
      <c r="B10" s="166">
        <v>42397</v>
      </c>
      <c r="C10" s="167" t="s">
        <v>868</v>
      </c>
      <c r="D10" s="168" t="s">
        <v>868</v>
      </c>
      <c r="E10" s="168" t="s">
        <v>869</v>
      </c>
      <c r="F10" s="168" t="s">
        <v>836</v>
      </c>
      <c r="G10" s="167"/>
      <c r="H10" s="173"/>
      <c r="J10" s="166">
        <v>42401</v>
      </c>
      <c r="K10" s="178"/>
      <c r="L10" s="168" t="s">
        <v>870</v>
      </c>
      <c r="M10" s="168" t="s">
        <v>871</v>
      </c>
      <c r="N10" s="168"/>
      <c r="O10" s="166"/>
      <c r="P10" s="175"/>
      <c r="R10" s="177">
        <v>42431</v>
      </c>
      <c r="S10" s="167" t="s">
        <v>872</v>
      </c>
      <c r="T10" s="168" t="s">
        <v>872</v>
      </c>
      <c r="U10" s="168" t="s">
        <v>873</v>
      </c>
      <c r="V10" s="168" t="s">
        <v>845</v>
      </c>
      <c r="W10" s="166">
        <v>42437</v>
      </c>
      <c r="X10" s="174">
        <f>W10-R10</f>
        <v>6</v>
      </c>
    </row>
    <row r="11" spans="2:24">
      <c r="B11" s="166">
        <v>42397</v>
      </c>
      <c r="C11" s="167" t="s">
        <v>874</v>
      </c>
      <c r="D11" s="168" t="s">
        <v>874</v>
      </c>
      <c r="E11" s="168" t="s">
        <v>869</v>
      </c>
      <c r="F11" s="168" t="s">
        <v>836</v>
      </c>
      <c r="G11" s="167"/>
      <c r="H11" s="173"/>
      <c r="J11" s="166">
        <v>42401</v>
      </c>
      <c r="K11" s="178"/>
      <c r="L11" s="168" t="s">
        <v>875</v>
      </c>
      <c r="M11" s="168" t="s">
        <v>876</v>
      </c>
      <c r="N11" s="168"/>
      <c r="O11" s="166">
        <v>42403</v>
      </c>
      <c r="P11" s="174">
        <f>O11-J11</f>
        <v>2</v>
      </c>
      <c r="R11" s="177">
        <v>42438</v>
      </c>
      <c r="S11" s="167" t="s">
        <v>877</v>
      </c>
      <c r="T11" s="168" t="s">
        <v>877</v>
      </c>
      <c r="U11" s="168" t="s">
        <v>878</v>
      </c>
      <c r="V11" s="168" t="s">
        <v>836</v>
      </c>
      <c r="W11" s="166">
        <v>42440</v>
      </c>
      <c r="X11" s="174">
        <f>W11-R11</f>
        <v>2</v>
      </c>
    </row>
    <row r="12" spans="2:24">
      <c r="B12" s="166">
        <v>42397</v>
      </c>
      <c r="C12" s="167" t="s">
        <v>879</v>
      </c>
      <c r="D12" s="168" t="s">
        <v>879</v>
      </c>
      <c r="E12" s="168" t="s">
        <v>835</v>
      </c>
      <c r="F12" s="168" t="s">
        <v>836</v>
      </c>
      <c r="G12" s="167"/>
      <c r="H12" s="173"/>
      <c r="J12" s="166">
        <v>42402</v>
      </c>
      <c r="K12" s="178"/>
      <c r="L12" s="168" t="s">
        <v>880</v>
      </c>
      <c r="M12" s="168" t="s">
        <v>869</v>
      </c>
      <c r="N12" s="168"/>
      <c r="O12" s="166"/>
      <c r="P12" s="175"/>
      <c r="R12" s="177">
        <v>42430</v>
      </c>
      <c r="S12" s="167" t="s">
        <v>881</v>
      </c>
      <c r="T12" s="168" t="s">
        <v>881</v>
      </c>
      <c r="U12" s="168" t="s">
        <v>863</v>
      </c>
      <c r="V12" s="168" t="s">
        <v>836</v>
      </c>
      <c r="W12" s="166"/>
      <c r="X12" s="175"/>
    </row>
    <row r="13" spans="2:24">
      <c r="B13" s="166">
        <v>42397</v>
      </c>
      <c r="C13" s="167" t="s">
        <v>882</v>
      </c>
      <c r="D13" s="168" t="s">
        <v>882</v>
      </c>
      <c r="E13" s="168" t="s">
        <v>835</v>
      </c>
      <c r="F13" s="168" t="s">
        <v>836</v>
      </c>
      <c r="G13" s="167"/>
      <c r="H13" s="173"/>
      <c r="J13" s="166">
        <v>42403</v>
      </c>
      <c r="K13" s="178"/>
      <c r="L13" s="168" t="s">
        <v>883</v>
      </c>
      <c r="M13" s="168" t="s">
        <v>835</v>
      </c>
      <c r="N13" s="168"/>
      <c r="O13" s="166"/>
      <c r="P13" s="175"/>
      <c r="R13" s="177">
        <v>42430</v>
      </c>
      <c r="S13" s="167" t="s">
        <v>884</v>
      </c>
      <c r="T13" s="168" t="s">
        <v>884</v>
      </c>
      <c r="U13" s="168" t="s">
        <v>861</v>
      </c>
      <c r="V13" s="168" t="s">
        <v>836</v>
      </c>
      <c r="W13" s="166"/>
      <c r="X13" s="175"/>
    </row>
    <row r="14" spans="2:24">
      <c r="B14" s="166">
        <v>42397</v>
      </c>
      <c r="C14" s="167" t="s">
        <v>885</v>
      </c>
      <c r="D14" s="168" t="s">
        <v>885</v>
      </c>
      <c r="E14" s="168" t="s">
        <v>835</v>
      </c>
      <c r="F14" s="168" t="s">
        <v>836</v>
      </c>
      <c r="G14" s="167"/>
      <c r="H14" s="173"/>
      <c r="J14" s="166">
        <v>42404</v>
      </c>
      <c r="K14" s="178"/>
      <c r="L14" s="168" t="s">
        <v>886</v>
      </c>
      <c r="M14" s="168" t="s">
        <v>887</v>
      </c>
      <c r="N14" s="168"/>
      <c r="O14" s="166"/>
      <c r="P14" s="175"/>
      <c r="R14" s="177">
        <v>42433</v>
      </c>
      <c r="S14" s="167" t="s">
        <v>888</v>
      </c>
      <c r="T14" s="168" t="s">
        <v>888</v>
      </c>
      <c r="U14" s="168" t="s">
        <v>866</v>
      </c>
      <c r="V14" s="168" t="s">
        <v>867</v>
      </c>
      <c r="W14" s="166"/>
      <c r="X14" s="175"/>
    </row>
    <row r="15" spans="2:24">
      <c r="B15" s="166">
        <v>42397</v>
      </c>
      <c r="C15" s="167" t="s">
        <v>748</v>
      </c>
      <c r="D15" s="168" t="s">
        <v>748</v>
      </c>
      <c r="E15" s="168" t="s">
        <v>835</v>
      </c>
      <c r="F15" s="168" t="s">
        <v>836</v>
      </c>
      <c r="G15" s="167"/>
      <c r="H15" s="173"/>
      <c r="J15" s="166">
        <v>42404</v>
      </c>
      <c r="K15" s="178"/>
      <c r="L15" s="168" t="s">
        <v>889</v>
      </c>
      <c r="M15" s="168" t="s">
        <v>890</v>
      </c>
      <c r="N15" s="168"/>
      <c r="O15" s="166"/>
      <c r="P15" s="175"/>
      <c r="R15" s="177">
        <v>42431</v>
      </c>
      <c r="S15" s="167" t="s">
        <v>891</v>
      </c>
      <c r="T15" s="168" t="s">
        <v>891</v>
      </c>
      <c r="U15" s="168" t="s">
        <v>841</v>
      </c>
      <c r="V15" s="168" t="s">
        <v>892</v>
      </c>
      <c r="W15" s="166"/>
      <c r="X15" s="175"/>
    </row>
    <row r="16" spans="2:24">
      <c r="B16" s="166">
        <v>42397</v>
      </c>
      <c r="C16" s="167" t="s">
        <v>893</v>
      </c>
      <c r="D16" s="168" t="s">
        <v>893</v>
      </c>
      <c r="E16" s="168" t="s">
        <v>894</v>
      </c>
      <c r="F16" s="168"/>
      <c r="G16" s="167"/>
      <c r="H16" s="173"/>
      <c r="J16" s="166">
        <v>42404</v>
      </c>
      <c r="K16" s="178"/>
      <c r="L16" s="168" t="s">
        <v>895</v>
      </c>
      <c r="M16" s="168" t="s">
        <v>876</v>
      </c>
      <c r="N16" s="168"/>
      <c r="O16" s="166">
        <v>42410</v>
      </c>
      <c r="P16" s="174">
        <f>O16-J16</f>
        <v>6</v>
      </c>
      <c r="R16" s="177">
        <v>42431</v>
      </c>
      <c r="S16" s="167" t="s">
        <v>896</v>
      </c>
      <c r="T16" s="168" t="s">
        <v>896</v>
      </c>
      <c r="U16" s="168" t="s">
        <v>897</v>
      </c>
      <c r="V16" s="168" t="s">
        <v>867</v>
      </c>
      <c r="W16" s="166"/>
      <c r="X16" s="175"/>
    </row>
    <row r="17" spans="2:24">
      <c r="B17" s="170">
        <v>42397</v>
      </c>
      <c r="C17" s="167" t="s">
        <v>898</v>
      </c>
      <c r="D17" s="168" t="s">
        <v>898</v>
      </c>
      <c r="E17" s="182" t="s">
        <v>876</v>
      </c>
      <c r="F17" s="182"/>
      <c r="G17" s="167"/>
      <c r="H17" s="173"/>
      <c r="J17" s="166">
        <v>42404</v>
      </c>
      <c r="K17" s="178"/>
      <c r="L17" s="168" t="s">
        <v>899</v>
      </c>
      <c r="M17" s="168" t="s">
        <v>835</v>
      </c>
      <c r="N17" s="168"/>
      <c r="O17" s="166"/>
      <c r="P17" s="175"/>
      <c r="R17" s="177">
        <v>42431</v>
      </c>
      <c r="S17" s="167" t="s">
        <v>900</v>
      </c>
      <c r="T17" s="168" t="s">
        <v>900</v>
      </c>
      <c r="U17" s="168" t="s">
        <v>835</v>
      </c>
      <c r="V17" s="168" t="s">
        <v>836</v>
      </c>
      <c r="W17" s="166"/>
      <c r="X17" s="175"/>
    </row>
    <row r="18" spans="2:24">
      <c r="B18" s="170">
        <v>42397</v>
      </c>
      <c r="C18" s="167" t="s">
        <v>901</v>
      </c>
      <c r="D18" s="168" t="s">
        <v>901</v>
      </c>
      <c r="E18" s="168" t="s">
        <v>844</v>
      </c>
      <c r="F18" s="182"/>
      <c r="G18" s="166">
        <v>42405</v>
      </c>
      <c r="H18" s="174">
        <f>G18-B18</f>
        <v>8</v>
      </c>
      <c r="J18" s="166">
        <v>42404</v>
      </c>
      <c r="K18" s="178"/>
      <c r="L18" s="168" t="s">
        <v>902</v>
      </c>
      <c r="M18" s="168" t="s">
        <v>903</v>
      </c>
      <c r="N18" s="168"/>
      <c r="O18" s="166">
        <v>42419</v>
      </c>
      <c r="P18" s="174">
        <f>O18-J18</f>
        <v>15</v>
      </c>
      <c r="R18" s="177">
        <v>42431</v>
      </c>
      <c r="S18" s="167" t="s">
        <v>904</v>
      </c>
      <c r="T18" s="168" t="s">
        <v>904</v>
      </c>
      <c r="U18" s="168" t="s">
        <v>861</v>
      </c>
      <c r="V18" s="168" t="s">
        <v>836</v>
      </c>
      <c r="W18" s="166"/>
      <c r="X18" s="175"/>
    </row>
    <row r="19" spans="2:24">
      <c r="B19" s="166">
        <v>42397</v>
      </c>
      <c r="C19" s="167" t="s">
        <v>905</v>
      </c>
      <c r="D19" s="168" t="s">
        <v>905</v>
      </c>
      <c r="E19" s="168" t="s">
        <v>906</v>
      </c>
      <c r="F19" s="168"/>
      <c r="G19" s="166">
        <v>42402</v>
      </c>
      <c r="H19" s="174">
        <f>G19-B19</f>
        <v>5</v>
      </c>
      <c r="J19" s="166">
        <v>42404</v>
      </c>
      <c r="K19" s="178"/>
      <c r="L19" s="168" t="s">
        <v>907</v>
      </c>
      <c r="M19" s="168" t="s">
        <v>863</v>
      </c>
      <c r="N19" s="168"/>
      <c r="O19" s="166"/>
      <c r="P19" s="175"/>
      <c r="R19" s="177">
        <v>42432</v>
      </c>
      <c r="S19" s="167" t="s">
        <v>908</v>
      </c>
      <c r="T19" s="168" t="s">
        <v>908</v>
      </c>
      <c r="U19" s="168" t="s">
        <v>835</v>
      </c>
      <c r="V19" s="168" t="s">
        <v>836</v>
      </c>
      <c r="W19" s="166"/>
      <c r="X19" s="175"/>
    </row>
    <row r="20" spans="2:24">
      <c r="B20" s="166">
        <v>42397</v>
      </c>
      <c r="C20" s="167" t="s">
        <v>909</v>
      </c>
      <c r="D20" s="168" t="s">
        <v>909</v>
      </c>
      <c r="E20" s="168" t="s">
        <v>910</v>
      </c>
      <c r="F20" s="168"/>
      <c r="G20" s="166">
        <v>42401</v>
      </c>
      <c r="H20" s="174">
        <f>G20-B20</f>
        <v>4</v>
      </c>
      <c r="J20" s="166">
        <v>42408</v>
      </c>
      <c r="K20" s="178"/>
      <c r="L20" s="168" t="s">
        <v>911</v>
      </c>
      <c r="M20" s="168" t="s">
        <v>835</v>
      </c>
      <c r="N20" s="168"/>
      <c r="O20" s="166"/>
      <c r="P20" s="175"/>
      <c r="R20" s="177">
        <v>42433</v>
      </c>
      <c r="S20" s="167" t="s">
        <v>912</v>
      </c>
      <c r="T20" s="168" t="s">
        <v>912</v>
      </c>
      <c r="U20" s="168" t="s">
        <v>835</v>
      </c>
      <c r="V20" s="168" t="s">
        <v>836</v>
      </c>
      <c r="W20" s="166"/>
      <c r="X20" s="175"/>
    </row>
    <row r="21" spans="2:24">
      <c r="B21" s="171">
        <v>42397</v>
      </c>
      <c r="C21" s="167" t="s">
        <v>913</v>
      </c>
      <c r="D21" s="168" t="s">
        <v>913</v>
      </c>
      <c r="E21" s="183" t="s">
        <v>838</v>
      </c>
      <c r="F21" s="183"/>
      <c r="G21" s="167"/>
      <c r="H21" s="173"/>
      <c r="J21" s="166">
        <v>42408</v>
      </c>
      <c r="K21" s="178"/>
      <c r="L21" s="168" t="s">
        <v>914</v>
      </c>
      <c r="M21" s="168" t="s">
        <v>878</v>
      </c>
      <c r="N21" s="168"/>
      <c r="O21" s="166">
        <v>42412</v>
      </c>
      <c r="P21" s="174">
        <f>O21-J21</f>
        <v>4</v>
      </c>
      <c r="R21" s="177">
        <v>42433</v>
      </c>
      <c r="S21" s="167" t="s">
        <v>915</v>
      </c>
      <c r="T21" s="168" t="s">
        <v>915</v>
      </c>
      <c r="U21" s="168" t="s">
        <v>916</v>
      </c>
      <c r="V21" s="168" t="s">
        <v>836</v>
      </c>
      <c r="W21" s="166"/>
      <c r="X21" s="175"/>
    </row>
    <row r="22" spans="2:24">
      <c r="B22" s="166">
        <v>42397</v>
      </c>
      <c r="C22" s="167" t="s">
        <v>917</v>
      </c>
      <c r="D22" s="168" t="s">
        <v>917</v>
      </c>
      <c r="E22" s="168" t="s">
        <v>841</v>
      </c>
      <c r="F22" s="168"/>
      <c r="G22" s="166">
        <v>42405</v>
      </c>
      <c r="H22" s="174">
        <f>G22-B22</f>
        <v>8</v>
      </c>
      <c r="J22" s="166">
        <v>42408</v>
      </c>
      <c r="K22" s="178"/>
      <c r="L22" s="168" t="s">
        <v>918</v>
      </c>
      <c r="M22" s="168" t="s">
        <v>894</v>
      </c>
      <c r="N22" s="168"/>
      <c r="O22" s="166"/>
      <c r="P22" s="175"/>
      <c r="R22" s="177">
        <v>42432</v>
      </c>
      <c r="S22" s="167" t="s">
        <v>919</v>
      </c>
      <c r="T22" s="168" t="s">
        <v>919</v>
      </c>
      <c r="U22" s="168" t="s">
        <v>866</v>
      </c>
      <c r="V22" s="168" t="s">
        <v>867</v>
      </c>
      <c r="W22" s="166">
        <v>42436</v>
      </c>
      <c r="X22" s="174">
        <f>W22-R22</f>
        <v>4</v>
      </c>
    </row>
    <row r="23" spans="2:24">
      <c r="B23" s="166">
        <v>42398</v>
      </c>
      <c r="C23" s="167" t="s">
        <v>920</v>
      </c>
      <c r="D23" s="168" t="s">
        <v>920</v>
      </c>
      <c r="E23" s="182" t="s">
        <v>869</v>
      </c>
      <c r="F23" s="168" t="s">
        <v>836</v>
      </c>
      <c r="G23" s="167"/>
      <c r="H23" s="173"/>
      <c r="J23" s="166">
        <v>42408</v>
      </c>
      <c r="K23" s="178"/>
      <c r="L23" s="168" t="s">
        <v>921</v>
      </c>
      <c r="M23" s="168" t="s">
        <v>861</v>
      </c>
      <c r="N23" s="168"/>
      <c r="O23" s="166"/>
      <c r="P23" s="175"/>
      <c r="R23" s="177">
        <v>42439</v>
      </c>
      <c r="S23" s="167" t="s">
        <v>922</v>
      </c>
      <c r="T23" s="168" t="s">
        <v>922</v>
      </c>
      <c r="U23" s="176" t="s">
        <v>835</v>
      </c>
      <c r="V23" s="176" t="s">
        <v>836</v>
      </c>
      <c r="W23" s="166"/>
      <c r="X23" s="175"/>
    </row>
    <row r="24" spans="2:24">
      <c r="B24" s="166">
        <v>42398</v>
      </c>
      <c r="C24" s="167" t="s">
        <v>923</v>
      </c>
      <c r="D24" s="168" t="s">
        <v>923</v>
      </c>
      <c r="E24" s="168" t="s">
        <v>863</v>
      </c>
      <c r="F24" s="168" t="s">
        <v>836</v>
      </c>
      <c r="G24" s="166">
        <v>42402</v>
      </c>
      <c r="H24" s="174">
        <f>G24-B24</f>
        <v>4</v>
      </c>
      <c r="J24" s="166">
        <v>42408</v>
      </c>
      <c r="K24" s="178"/>
      <c r="L24" s="168" t="s">
        <v>924</v>
      </c>
      <c r="M24" s="168" t="s">
        <v>894</v>
      </c>
      <c r="N24" s="168"/>
      <c r="O24" s="166">
        <v>42412</v>
      </c>
      <c r="P24" s="174">
        <f>O24-J24</f>
        <v>4</v>
      </c>
      <c r="R24" s="177">
        <v>42457</v>
      </c>
      <c r="S24" s="167" t="s">
        <v>925</v>
      </c>
      <c r="T24" s="176" t="s">
        <v>925</v>
      </c>
      <c r="U24" s="176" t="s">
        <v>916</v>
      </c>
      <c r="V24" s="176" t="s">
        <v>836</v>
      </c>
      <c r="W24" s="166"/>
      <c r="X24" s="175"/>
    </row>
    <row r="25" spans="2:24">
      <c r="B25" s="166">
        <v>42398</v>
      </c>
      <c r="C25" s="167" t="s">
        <v>926</v>
      </c>
      <c r="D25" s="168" t="s">
        <v>926</v>
      </c>
      <c r="E25" s="168" t="s">
        <v>897</v>
      </c>
      <c r="F25" s="168"/>
      <c r="G25" s="167"/>
      <c r="H25" s="173"/>
      <c r="J25" s="166">
        <v>42408</v>
      </c>
      <c r="K25" s="178"/>
      <c r="L25" s="168" t="s">
        <v>927</v>
      </c>
      <c r="M25" s="168" t="s">
        <v>928</v>
      </c>
      <c r="N25" s="168"/>
      <c r="O25" s="166">
        <v>42417</v>
      </c>
      <c r="P25" s="175">
        <f>O25-J25</f>
        <v>9</v>
      </c>
      <c r="R25" s="177">
        <v>42447</v>
      </c>
      <c r="S25" s="167" t="s">
        <v>929</v>
      </c>
      <c r="T25" s="176" t="s">
        <v>929</v>
      </c>
      <c r="U25" s="168" t="s">
        <v>930</v>
      </c>
      <c r="V25" s="168" t="s">
        <v>836</v>
      </c>
      <c r="W25" s="166">
        <v>42458</v>
      </c>
      <c r="X25" s="174">
        <f>W25-R25</f>
        <v>11</v>
      </c>
    </row>
    <row r="26" spans="2:24">
      <c r="B26" s="166">
        <v>42374</v>
      </c>
      <c r="C26" s="167"/>
      <c r="D26" s="168" t="s">
        <v>931</v>
      </c>
      <c r="E26" s="168" t="s">
        <v>841</v>
      </c>
      <c r="F26" s="167"/>
      <c r="G26" s="166">
        <v>42429</v>
      </c>
      <c r="H26" s="175">
        <f>G26-B26</f>
        <v>55</v>
      </c>
      <c r="J26" s="166">
        <v>42408</v>
      </c>
      <c r="K26" s="178"/>
      <c r="L26" s="168" t="s">
        <v>932</v>
      </c>
      <c r="M26" s="168" t="s">
        <v>835</v>
      </c>
      <c r="N26" s="168"/>
      <c r="O26" s="166"/>
      <c r="P26" s="175"/>
      <c r="R26" s="170">
        <v>42438</v>
      </c>
      <c r="S26" s="178"/>
      <c r="T26" s="176" t="s">
        <v>933</v>
      </c>
      <c r="U26" s="176" t="s">
        <v>876</v>
      </c>
      <c r="V26" s="176" t="s">
        <v>845</v>
      </c>
      <c r="W26" s="166">
        <v>42443</v>
      </c>
      <c r="X26" s="174">
        <f>W26-R26</f>
        <v>5</v>
      </c>
    </row>
    <row r="27" spans="2:24">
      <c r="B27" s="166">
        <v>42387</v>
      </c>
      <c r="C27" s="178"/>
      <c r="D27" s="168" t="s">
        <v>934</v>
      </c>
      <c r="E27" s="168" t="s">
        <v>935</v>
      </c>
      <c r="F27" s="178"/>
      <c r="G27" s="166">
        <v>42411</v>
      </c>
      <c r="H27" s="175">
        <f>G27-B27</f>
        <v>24</v>
      </c>
      <c r="J27" s="166">
        <v>42409</v>
      </c>
      <c r="K27" s="178"/>
      <c r="L27" s="168" t="s">
        <v>936</v>
      </c>
      <c r="M27" s="168" t="s">
        <v>835</v>
      </c>
      <c r="N27" s="168"/>
      <c r="O27" s="166">
        <v>42410</v>
      </c>
      <c r="P27" s="174">
        <f>O27-J27</f>
        <v>1</v>
      </c>
      <c r="R27" s="166">
        <v>42443</v>
      </c>
      <c r="S27" s="178"/>
      <c r="T27" s="176" t="s">
        <v>937</v>
      </c>
      <c r="U27" s="176" t="s">
        <v>878</v>
      </c>
      <c r="V27" s="176" t="s">
        <v>836</v>
      </c>
      <c r="W27" s="166">
        <v>42443</v>
      </c>
      <c r="X27" s="174">
        <f>W27-R27</f>
        <v>0</v>
      </c>
    </row>
    <row r="28" spans="2:24">
      <c r="B28" s="166">
        <v>42390</v>
      </c>
      <c r="C28" s="178"/>
      <c r="D28" s="168" t="s">
        <v>622</v>
      </c>
      <c r="E28" s="182" t="s">
        <v>938</v>
      </c>
      <c r="F28" s="178"/>
      <c r="G28" s="170"/>
      <c r="H28" s="175"/>
      <c r="J28" s="166">
        <v>42409</v>
      </c>
      <c r="K28" s="178"/>
      <c r="L28" s="168" t="s">
        <v>939</v>
      </c>
      <c r="M28" s="168" t="s">
        <v>835</v>
      </c>
      <c r="N28" s="168"/>
      <c r="O28" s="166"/>
      <c r="P28" s="175"/>
      <c r="R28" s="166">
        <v>42433</v>
      </c>
      <c r="S28" s="178"/>
      <c r="T28" s="168" t="s">
        <v>940</v>
      </c>
      <c r="U28" s="176" t="s">
        <v>916</v>
      </c>
      <c r="V28" s="176" t="s">
        <v>836</v>
      </c>
      <c r="W28" s="166"/>
      <c r="X28" s="175"/>
    </row>
    <row r="29" spans="2:24">
      <c r="B29" s="166">
        <v>42390</v>
      </c>
      <c r="C29" s="178"/>
      <c r="D29" s="168" t="s">
        <v>622</v>
      </c>
      <c r="E29" s="168" t="s">
        <v>863</v>
      </c>
      <c r="F29" s="178"/>
      <c r="G29" s="166"/>
      <c r="H29" s="175"/>
      <c r="J29" s="166">
        <v>42410</v>
      </c>
      <c r="K29" s="178"/>
      <c r="L29" s="168" t="s">
        <v>941</v>
      </c>
      <c r="M29" s="168" t="s">
        <v>942</v>
      </c>
      <c r="N29" s="168"/>
      <c r="O29" s="166">
        <v>42410</v>
      </c>
      <c r="P29" s="174">
        <f>O29-J29</f>
        <v>0</v>
      </c>
      <c r="R29" s="166">
        <v>42438</v>
      </c>
      <c r="S29" s="178"/>
      <c r="T29" s="168" t="s">
        <v>943</v>
      </c>
      <c r="U29" s="176" t="s">
        <v>863</v>
      </c>
      <c r="V29" s="176" t="s">
        <v>836</v>
      </c>
      <c r="W29" s="166"/>
      <c r="X29" s="175"/>
    </row>
    <row r="30" spans="2:24">
      <c r="B30" s="170">
        <v>42396</v>
      </c>
      <c r="C30" s="178"/>
      <c r="D30" s="168" t="s">
        <v>622</v>
      </c>
      <c r="E30" s="168" t="s">
        <v>944</v>
      </c>
      <c r="F30" s="178"/>
      <c r="G30" s="166">
        <v>42405</v>
      </c>
      <c r="H30" s="174">
        <f>G30-B30</f>
        <v>9</v>
      </c>
      <c r="J30" s="166">
        <v>42409</v>
      </c>
      <c r="K30" s="178"/>
      <c r="L30" s="168" t="s">
        <v>945</v>
      </c>
      <c r="M30" s="168" t="s">
        <v>946</v>
      </c>
      <c r="N30" s="168"/>
      <c r="O30" s="166">
        <v>42415</v>
      </c>
      <c r="P30" s="174">
        <f>O30-J30</f>
        <v>6</v>
      </c>
      <c r="R30" s="166">
        <v>42438</v>
      </c>
      <c r="S30" s="178"/>
      <c r="T30" s="176" t="s">
        <v>947</v>
      </c>
      <c r="U30" s="176" t="s">
        <v>890</v>
      </c>
      <c r="V30" s="176" t="s">
        <v>856</v>
      </c>
      <c r="W30" s="166">
        <v>42438</v>
      </c>
      <c r="X30" s="174">
        <f>W30-R30</f>
        <v>0</v>
      </c>
    </row>
    <row r="31" spans="2:24">
      <c r="J31" s="166">
        <v>42409</v>
      </c>
      <c r="K31" s="178"/>
      <c r="L31" s="168" t="s">
        <v>948</v>
      </c>
      <c r="M31" s="168" t="s">
        <v>853</v>
      </c>
      <c r="N31" s="168"/>
      <c r="O31" s="166"/>
      <c r="P31" s="175"/>
      <c r="R31" s="166">
        <v>42438</v>
      </c>
      <c r="S31" s="178"/>
      <c r="T31" s="176" t="s">
        <v>949</v>
      </c>
      <c r="U31" s="176" t="s">
        <v>950</v>
      </c>
      <c r="V31" s="176" t="s">
        <v>836</v>
      </c>
      <c r="W31" s="166">
        <v>42444</v>
      </c>
      <c r="X31" s="174">
        <f>W31-R31</f>
        <v>6</v>
      </c>
    </row>
    <row r="32" spans="2:24">
      <c r="J32" s="166">
        <v>42409</v>
      </c>
      <c r="K32" s="178"/>
      <c r="L32" s="168" t="s">
        <v>951</v>
      </c>
      <c r="M32" s="168" t="s">
        <v>835</v>
      </c>
      <c r="N32" s="168"/>
      <c r="O32" s="166"/>
      <c r="P32" s="175"/>
      <c r="R32" s="166">
        <v>42438</v>
      </c>
      <c r="S32" s="178"/>
      <c r="T32" s="168" t="s">
        <v>952</v>
      </c>
      <c r="U32" s="176" t="s">
        <v>838</v>
      </c>
      <c r="V32" s="176" t="s">
        <v>836</v>
      </c>
      <c r="W32" s="166"/>
      <c r="X32" s="175"/>
    </row>
    <row r="33" spans="10:24">
      <c r="J33" s="166">
        <v>42411</v>
      </c>
      <c r="K33" s="178"/>
      <c r="L33" s="168" t="s">
        <v>953</v>
      </c>
      <c r="M33" s="168" t="s">
        <v>897</v>
      </c>
      <c r="N33" s="168"/>
      <c r="O33" s="166"/>
      <c r="P33" s="175"/>
      <c r="R33" s="166">
        <v>42438</v>
      </c>
      <c r="S33" s="178"/>
      <c r="T33" s="176" t="s">
        <v>954</v>
      </c>
      <c r="U33" s="176" t="s">
        <v>835</v>
      </c>
      <c r="V33" s="176" t="s">
        <v>836</v>
      </c>
      <c r="W33" s="166"/>
      <c r="X33" s="175"/>
    </row>
    <row r="34" spans="10:24">
      <c r="J34" s="166">
        <v>42412</v>
      </c>
      <c r="K34" s="178"/>
      <c r="L34" s="168" t="s">
        <v>955</v>
      </c>
      <c r="M34" s="168" t="s">
        <v>956</v>
      </c>
      <c r="N34" s="168"/>
      <c r="O34" s="166"/>
      <c r="P34" s="175"/>
      <c r="R34" s="166">
        <v>42438</v>
      </c>
      <c r="S34" s="178"/>
      <c r="T34" s="176" t="s">
        <v>957</v>
      </c>
      <c r="U34" s="168" t="s">
        <v>866</v>
      </c>
      <c r="V34" s="168" t="s">
        <v>867</v>
      </c>
      <c r="W34" s="166"/>
      <c r="X34" s="175"/>
    </row>
    <row r="35" spans="10:24">
      <c r="J35" s="166">
        <v>42412</v>
      </c>
      <c r="K35" s="178"/>
      <c r="L35" s="168" t="s">
        <v>936</v>
      </c>
      <c r="M35" s="168" t="s">
        <v>835</v>
      </c>
      <c r="N35" s="168"/>
      <c r="O35" s="166"/>
      <c r="P35" s="175"/>
      <c r="R35" s="166">
        <v>42439</v>
      </c>
      <c r="S35" s="178"/>
      <c r="T35" s="176" t="s">
        <v>958</v>
      </c>
      <c r="U35" s="176" t="s">
        <v>959</v>
      </c>
      <c r="V35" s="176" t="s">
        <v>836</v>
      </c>
      <c r="W35" s="166"/>
      <c r="X35" s="175"/>
    </row>
    <row r="36" spans="10:24">
      <c r="J36" s="166">
        <v>42412</v>
      </c>
      <c r="K36" s="178"/>
      <c r="L36" s="168" t="s">
        <v>960</v>
      </c>
      <c r="M36" s="168" t="s">
        <v>961</v>
      </c>
      <c r="N36" s="168"/>
      <c r="O36" s="166">
        <v>42422</v>
      </c>
      <c r="P36" s="174">
        <f>O36-J36</f>
        <v>10</v>
      </c>
      <c r="R36" s="166">
        <v>42439</v>
      </c>
      <c r="S36" s="178"/>
      <c r="T36" s="176" t="s">
        <v>962</v>
      </c>
      <c r="U36" s="176" t="s">
        <v>963</v>
      </c>
      <c r="V36" s="176" t="s">
        <v>836</v>
      </c>
      <c r="W36" s="166"/>
      <c r="X36" s="175"/>
    </row>
    <row r="37" spans="10:24">
      <c r="J37" s="166">
        <v>42415</v>
      </c>
      <c r="K37" s="178"/>
      <c r="L37" s="168" t="s">
        <v>964</v>
      </c>
      <c r="M37" s="168" t="s">
        <v>863</v>
      </c>
      <c r="N37" s="168"/>
      <c r="O37" s="166"/>
      <c r="P37" s="175"/>
      <c r="R37" s="166">
        <v>42439</v>
      </c>
      <c r="S37" s="178"/>
      <c r="T37" s="176" t="s">
        <v>965</v>
      </c>
      <c r="U37" s="168" t="s">
        <v>966</v>
      </c>
      <c r="V37" s="168" t="s">
        <v>867</v>
      </c>
      <c r="W37" s="166"/>
      <c r="X37" s="175"/>
    </row>
    <row r="38" spans="10:24">
      <c r="J38" s="166">
        <v>42415</v>
      </c>
      <c r="K38" s="178"/>
      <c r="L38" s="168" t="s">
        <v>967</v>
      </c>
      <c r="M38" s="168" t="s">
        <v>876</v>
      </c>
      <c r="N38" s="168"/>
      <c r="O38" s="166">
        <v>42416</v>
      </c>
      <c r="P38" s="174">
        <f>O38-J38</f>
        <v>1</v>
      </c>
      <c r="R38" s="166">
        <v>42439</v>
      </c>
      <c r="S38" s="178"/>
      <c r="T38" s="176" t="s">
        <v>968</v>
      </c>
      <c r="U38" s="176" t="s">
        <v>835</v>
      </c>
      <c r="V38" s="176" t="s">
        <v>836</v>
      </c>
      <c r="W38" s="166"/>
      <c r="X38" s="175"/>
    </row>
    <row r="39" spans="10:24">
      <c r="J39" s="166">
        <v>42415</v>
      </c>
      <c r="K39" s="178"/>
      <c r="L39" s="168" t="s">
        <v>969</v>
      </c>
      <c r="M39" s="168" t="s">
        <v>861</v>
      </c>
      <c r="N39" s="168"/>
      <c r="O39" s="166"/>
      <c r="P39" s="175"/>
      <c r="R39" s="166">
        <v>42439</v>
      </c>
      <c r="S39" s="178"/>
      <c r="T39" s="176" t="s">
        <v>970</v>
      </c>
      <c r="U39" s="176" t="s">
        <v>916</v>
      </c>
      <c r="V39" s="176" t="s">
        <v>836</v>
      </c>
      <c r="W39" s="166"/>
      <c r="X39" s="175"/>
    </row>
    <row r="40" spans="10:24">
      <c r="J40" s="166">
        <v>42415</v>
      </c>
      <c r="K40" s="178"/>
      <c r="L40" s="168" t="s">
        <v>971</v>
      </c>
      <c r="M40" s="168" t="s">
        <v>966</v>
      </c>
      <c r="N40" s="168"/>
      <c r="O40" s="166"/>
      <c r="P40" s="175"/>
      <c r="R40" s="166">
        <v>42439</v>
      </c>
      <c r="S40" s="178"/>
      <c r="T40" s="176" t="s">
        <v>972</v>
      </c>
      <c r="U40" s="168" t="s">
        <v>835</v>
      </c>
      <c r="V40" s="176" t="s">
        <v>836</v>
      </c>
      <c r="W40" s="166"/>
      <c r="X40" s="175"/>
    </row>
    <row r="41" spans="10:24">
      <c r="J41" s="166">
        <v>42415</v>
      </c>
      <c r="K41" s="178"/>
      <c r="L41" s="168" t="s">
        <v>973</v>
      </c>
      <c r="M41" s="168" t="s">
        <v>974</v>
      </c>
      <c r="N41" s="168"/>
      <c r="O41" s="166">
        <v>42419</v>
      </c>
      <c r="P41" s="174">
        <f>O41-J41</f>
        <v>4</v>
      </c>
      <c r="R41" s="166">
        <v>42439</v>
      </c>
      <c r="S41" s="178"/>
      <c r="T41" s="176" t="s">
        <v>975</v>
      </c>
      <c r="U41" s="176" t="s">
        <v>861</v>
      </c>
      <c r="V41" s="176" t="s">
        <v>836</v>
      </c>
      <c r="W41" s="166"/>
      <c r="X41" s="175"/>
    </row>
    <row r="42" spans="10:24">
      <c r="J42" s="166">
        <v>42416</v>
      </c>
      <c r="K42" s="178"/>
      <c r="L42" s="168" t="s">
        <v>976</v>
      </c>
      <c r="M42" s="168" t="s">
        <v>869</v>
      </c>
      <c r="N42" s="168"/>
      <c r="O42" s="166"/>
      <c r="P42" s="175"/>
      <c r="R42" s="166">
        <v>42439</v>
      </c>
      <c r="S42" s="178"/>
      <c r="T42" s="176" t="s">
        <v>977</v>
      </c>
      <c r="U42" s="176" t="s">
        <v>966</v>
      </c>
      <c r="V42" s="176" t="s">
        <v>867</v>
      </c>
      <c r="W42" s="166"/>
      <c r="X42" s="175"/>
    </row>
    <row r="43" spans="10:24">
      <c r="J43" s="166">
        <v>42419</v>
      </c>
      <c r="K43" s="178"/>
      <c r="L43" s="168" t="s">
        <v>978</v>
      </c>
      <c r="M43" s="168" t="s">
        <v>866</v>
      </c>
      <c r="N43" s="168"/>
      <c r="O43" s="166"/>
      <c r="P43" s="175"/>
      <c r="R43" s="166">
        <v>42439</v>
      </c>
      <c r="S43" s="178"/>
      <c r="T43" s="176" t="s">
        <v>979</v>
      </c>
      <c r="U43" s="176" t="s">
        <v>980</v>
      </c>
      <c r="V43" s="176" t="s">
        <v>856</v>
      </c>
      <c r="W43" s="166"/>
      <c r="X43" s="175"/>
    </row>
    <row r="44" spans="10:24">
      <c r="J44" s="166">
        <v>42419</v>
      </c>
      <c r="K44" s="178"/>
      <c r="L44" s="168" t="s">
        <v>981</v>
      </c>
      <c r="M44" s="168" t="s">
        <v>841</v>
      </c>
      <c r="N44" s="168"/>
      <c r="O44" s="166">
        <v>42429</v>
      </c>
      <c r="P44" s="174">
        <f t="shared" ref="P44:P51" si="0">O44-J44</f>
        <v>10</v>
      </c>
      <c r="R44" s="166">
        <v>42439</v>
      </c>
      <c r="S44" s="178"/>
      <c r="T44" s="176" t="s">
        <v>982</v>
      </c>
      <c r="U44" s="176" t="s">
        <v>897</v>
      </c>
      <c r="V44" s="176" t="s">
        <v>867</v>
      </c>
      <c r="W44" s="166">
        <v>42443</v>
      </c>
      <c r="X44" s="174">
        <f>W44-R44</f>
        <v>4</v>
      </c>
    </row>
    <row r="45" spans="10:24">
      <c r="J45" s="166">
        <v>42418</v>
      </c>
      <c r="K45" s="178"/>
      <c r="L45" s="168"/>
      <c r="M45" s="168" t="s">
        <v>866</v>
      </c>
      <c r="N45" s="168"/>
      <c r="O45" s="166">
        <v>42425</v>
      </c>
      <c r="P45" s="174">
        <f t="shared" si="0"/>
        <v>7</v>
      </c>
      <c r="R45" s="166">
        <v>42443</v>
      </c>
      <c r="S45" s="178"/>
      <c r="T45" s="176" t="s">
        <v>983</v>
      </c>
      <c r="U45" s="176" t="s">
        <v>963</v>
      </c>
      <c r="V45" s="176" t="s">
        <v>836</v>
      </c>
      <c r="W45" s="166"/>
      <c r="X45" s="175"/>
    </row>
    <row r="46" spans="10:24">
      <c r="J46" s="166">
        <v>42418</v>
      </c>
      <c r="K46" s="178"/>
      <c r="L46" s="168" t="s">
        <v>984</v>
      </c>
      <c r="M46" s="168" t="s">
        <v>928</v>
      </c>
      <c r="N46" s="168"/>
      <c r="O46" s="166">
        <v>42422</v>
      </c>
      <c r="P46" s="174">
        <f t="shared" si="0"/>
        <v>4</v>
      </c>
      <c r="R46" s="166">
        <v>42445</v>
      </c>
      <c r="S46" s="178"/>
      <c r="T46" s="176" t="s">
        <v>985</v>
      </c>
      <c r="U46" s="176" t="s">
        <v>986</v>
      </c>
      <c r="V46" s="176" t="s">
        <v>836</v>
      </c>
      <c r="W46" s="166">
        <v>42447</v>
      </c>
      <c r="X46" s="174">
        <f>W46-R46</f>
        <v>2</v>
      </c>
    </row>
    <row r="47" spans="10:24">
      <c r="J47" s="166">
        <v>42418</v>
      </c>
      <c r="K47" s="178"/>
      <c r="L47" s="168" t="s">
        <v>987</v>
      </c>
      <c r="M47" s="168" t="s">
        <v>866</v>
      </c>
      <c r="N47" s="168"/>
      <c r="O47" s="166">
        <v>42423</v>
      </c>
      <c r="P47" s="174">
        <f t="shared" si="0"/>
        <v>5</v>
      </c>
      <c r="R47" s="166">
        <v>42445</v>
      </c>
      <c r="S47" s="178"/>
      <c r="T47" s="176" t="s">
        <v>988</v>
      </c>
      <c r="U47" s="176" t="s">
        <v>835</v>
      </c>
      <c r="V47" s="176" t="s">
        <v>836</v>
      </c>
      <c r="W47" s="166"/>
      <c r="X47" s="175"/>
    </row>
    <row r="48" spans="10:24">
      <c r="J48" s="166">
        <v>42418</v>
      </c>
      <c r="K48" s="178"/>
      <c r="L48" s="168" t="s">
        <v>989</v>
      </c>
      <c r="M48" s="168" t="s">
        <v>990</v>
      </c>
      <c r="N48" s="168"/>
      <c r="O48" s="166">
        <v>42419</v>
      </c>
      <c r="P48" s="174">
        <f t="shared" si="0"/>
        <v>1</v>
      </c>
      <c r="R48" s="166">
        <v>42445</v>
      </c>
      <c r="S48" s="178"/>
      <c r="T48" s="176" t="s">
        <v>991</v>
      </c>
      <c r="U48" s="176" t="s">
        <v>897</v>
      </c>
      <c r="V48" s="176" t="s">
        <v>867</v>
      </c>
      <c r="W48" s="166"/>
      <c r="X48" s="175"/>
    </row>
    <row r="49" spans="10:24">
      <c r="J49" s="166">
        <v>42418</v>
      </c>
      <c r="K49" s="178"/>
      <c r="L49" s="168" t="s">
        <v>992</v>
      </c>
      <c r="M49" s="168" t="s">
        <v>841</v>
      </c>
      <c r="N49" s="168"/>
      <c r="O49" s="166">
        <v>42422</v>
      </c>
      <c r="P49" s="174">
        <f t="shared" si="0"/>
        <v>4</v>
      </c>
      <c r="R49" s="166">
        <v>42445</v>
      </c>
      <c r="S49" s="178"/>
      <c r="T49" s="176" t="s">
        <v>993</v>
      </c>
      <c r="U49" s="176" t="s">
        <v>994</v>
      </c>
      <c r="V49" s="176" t="s">
        <v>836</v>
      </c>
      <c r="W49" s="166">
        <v>42457</v>
      </c>
      <c r="X49" s="174">
        <f>W49-R49</f>
        <v>12</v>
      </c>
    </row>
    <row r="50" spans="10:24">
      <c r="J50" s="166">
        <v>42419</v>
      </c>
      <c r="K50" s="178"/>
      <c r="L50" s="168" t="s">
        <v>995</v>
      </c>
      <c r="M50" s="168" t="s">
        <v>963</v>
      </c>
      <c r="N50" s="168"/>
      <c r="O50" s="166">
        <v>42438</v>
      </c>
      <c r="P50" s="175">
        <f t="shared" si="0"/>
        <v>19</v>
      </c>
      <c r="R50" s="166">
        <v>42445</v>
      </c>
      <c r="S50" s="178"/>
      <c r="T50" s="176" t="s">
        <v>996</v>
      </c>
      <c r="U50" s="176" t="s">
        <v>997</v>
      </c>
      <c r="V50" s="176" t="s">
        <v>867</v>
      </c>
      <c r="W50" s="166"/>
      <c r="X50" s="175"/>
    </row>
    <row r="51" spans="10:24">
      <c r="J51" s="166">
        <v>42419</v>
      </c>
      <c r="K51" s="178"/>
      <c r="L51" s="168" t="s">
        <v>998</v>
      </c>
      <c r="M51" s="168" t="s">
        <v>935</v>
      </c>
      <c r="N51" s="168"/>
      <c r="O51" s="166">
        <v>42425</v>
      </c>
      <c r="P51" s="174">
        <f t="shared" si="0"/>
        <v>6</v>
      </c>
      <c r="R51" s="166">
        <v>42445</v>
      </c>
      <c r="S51" s="178"/>
      <c r="T51" s="176" t="s">
        <v>999</v>
      </c>
      <c r="U51" s="176" t="s">
        <v>897</v>
      </c>
      <c r="V51" s="176" t="s">
        <v>867</v>
      </c>
      <c r="W51" s="166"/>
      <c r="X51" s="175"/>
    </row>
    <row r="52" spans="10:24">
      <c r="J52" s="166">
        <v>42419</v>
      </c>
      <c r="K52" s="178"/>
      <c r="L52" s="168" t="s">
        <v>1000</v>
      </c>
      <c r="M52" s="168" t="s">
        <v>844</v>
      </c>
      <c r="N52" s="168"/>
      <c r="O52" s="166"/>
      <c r="P52" s="175"/>
      <c r="R52" s="166">
        <v>42446</v>
      </c>
      <c r="S52" s="178"/>
      <c r="T52" s="176" t="s">
        <v>1001</v>
      </c>
      <c r="U52" s="176" t="s">
        <v>848</v>
      </c>
      <c r="V52" s="176" t="s">
        <v>892</v>
      </c>
      <c r="W52" s="166"/>
      <c r="X52" s="175"/>
    </row>
    <row r="53" spans="10:24">
      <c r="J53" s="166">
        <v>42419</v>
      </c>
      <c r="K53" s="178"/>
      <c r="L53" s="168" t="s">
        <v>1002</v>
      </c>
      <c r="M53" s="168" t="s">
        <v>863</v>
      </c>
      <c r="N53" s="168"/>
      <c r="O53" s="166"/>
      <c r="P53" s="175"/>
      <c r="R53" s="166">
        <v>42446</v>
      </c>
      <c r="S53" s="178"/>
      <c r="T53" s="176" t="s">
        <v>1003</v>
      </c>
      <c r="U53" s="176" t="s">
        <v>853</v>
      </c>
      <c r="V53" s="176" t="s">
        <v>856</v>
      </c>
      <c r="W53" s="166"/>
      <c r="X53" s="175"/>
    </row>
    <row r="54" spans="10:24">
      <c r="J54" s="166">
        <v>42419</v>
      </c>
      <c r="K54" s="178"/>
      <c r="L54" s="168" t="s">
        <v>1004</v>
      </c>
      <c r="M54" s="168" t="s">
        <v>869</v>
      </c>
      <c r="N54" s="168"/>
      <c r="O54" s="166"/>
      <c r="P54" s="175"/>
      <c r="R54" s="166">
        <v>42446</v>
      </c>
      <c r="S54" s="178"/>
      <c r="T54" s="176" t="s">
        <v>1005</v>
      </c>
      <c r="U54" s="176" t="s">
        <v>1006</v>
      </c>
      <c r="V54" s="176" t="s">
        <v>892</v>
      </c>
      <c r="W54" s="166"/>
      <c r="X54" s="175"/>
    </row>
    <row r="55" spans="10:24">
      <c r="J55" s="166">
        <v>42422</v>
      </c>
      <c r="K55" s="178"/>
      <c r="L55" s="168" t="s">
        <v>1007</v>
      </c>
      <c r="M55" s="168" t="s">
        <v>869</v>
      </c>
      <c r="N55" s="168"/>
      <c r="O55" s="166">
        <v>42440</v>
      </c>
      <c r="P55" s="175">
        <f>O55-J55</f>
        <v>18</v>
      </c>
      <c r="R55" s="166">
        <v>42446</v>
      </c>
      <c r="S55" s="178"/>
      <c r="T55" s="176" t="s">
        <v>1008</v>
      </c>
      <c r="U55" s="176" t="s">
        <v>848</v>
      </c>
      <c r="V55" s="176" t="s">
        <v>892</v>
      </c>
      <c r="W55" s="166"/>
      <c r="X55" s="175"/>
    </row>
    <row r="56" spans="10:24">
      <c r="J56" s="166">
        <v>42423</v>
      </c>
      <c r="K56" s="178"/>
      <c r="L56" s="168" t="s">
        <v>1009</v>
      </c>
      <c r="M56" s="168" t="s">
        <v>1010</v>
      </c>
      <c r="N56" s="168"/>
      <c r="O56" s="166">
        <v>42425</v>
      </c>
      <c r="P56" s="174">
        <f>O56-J56</f>
        <v>2</v>
      </c>
      <c r="R56" s="166">
        <v>42446</v>
      </c>
      <c r="S56" s="178"/>
      <c r="T56" s="176" t="s">
        <v>1011</v>
      </c>
      <c r="U56" s="176" t="s">
        <v>863</v>
      </c>
      <c r="V56" s="176" t="s">
        <v>836</v>
      </c>
      <c r="W56" s="166"/>
      <c r="X56" s="175"/>
    </row>
    <row r="57" spans="10:24">
      <c r="J57" s="166">
        <v>42423</v>
      </c>
      <c r="K57" s="178"/>
      <c r="L57" s="168" t="s">
        <v>1012</v>
      </c>
      <c r="M57" s="168" t="s">
        <v>866</v>
      </c>
      <c r="N57" s="168"/>
      <c r="O57" s="166"/>
      <c r="P57" s="175"/>
      <c r="R57" s="166">
        <v>42446</v>
      </c>
      <c r="S57" s="178"/>
      <c r="T57" s="176" t="s">
        <v>1013</v>
      </c>
      <c r="U57" s="176" t="s">
        <v>963</v>
      </c>
      <c r="V57" s="176" t="s">
        <v>836</v>
      </c>
      <c r="W57" s="166"/>
      <c r="X57" s="175"/>
    </row>
    <row r="58" spans="10:24">
      <c r="J58" s="166">
        <v>42423</v>
      </c>
      <c r="K58" s="178"/>
      <c r="L58" s="168" t="s">
        <v>1014</v>
      </c>
      <c r="M58" s="168" t="s">
        <v>897</v>
      </c>
      <c r="N58" s="168"/>
      <c r="O58" s="166"/>
      <c r="P58" s="175"/>
      <c r="R58" s="166">
        <v>42446</v>
      </c>
      <c r="S58" s="178"/>
      <c r="T58" s="176" t="s">
        <v>1015</v>
      </c>
      <c r="U58" s="176" t="s">
        <v>835</v>
      </c>
      <c r="V58" s="176" t="s">
        <v>836</v>
      </c>
      <c r="W58" s="166"/>
      <c r="X58" s="175"/>
    </row>
    <row r="59" spans="10:24">
      <c r="J59" s="166">
        <v>42423</v>
      </c>
      <c r="K59" s="178"/>
      <c r="L59" s="168" t="s">
        <v>1016</v>
      </c>
      <c r="M59" s="168" t="s">
        <v>890</v>
      </c>
      <c r="N59" s="168"/>
      <c r="O59" s="166"/>
      <c r="P59" s="175"/>
      <c r="R59" s="166">
        <v>42446</v>
      </c>
      <c r="S59" s="178"/>
      <c r="T59" s="176" t="s">
        <v>1017</v>
      </c>
      <c r="U59" s="176" t="s">
        <v>916</v>
      </c>
      <c r="V59" s="176" t="s">
        <v>836</v>
      </c>
      <c r="W59" s="166"/>
      <c r="X59" s="175"/>
    </row>
    <row r="60" spans="10:24">
      <c r="J60" s="166">
        <v>42415</v>
      </c>
      <c r="K60" s="178"/>
      <c r="L60" s="168" t="s">
        <v>1018</v>
      </c>
      <c r="M60" s="168" t="s">
        <v>835</v>
      </c>
      <c r="N60" s="168"/>
      <c r="O60" s="166"/>
      <c r="P60" s="175"/>
      <c r="R60" s="166">
        <v>42446</v>
      </c>
      <c r="S60" s="178"/>
      <c r="T60" s="176" t="s">
        <v>1019</v>
      </c>
      <c r="U60" s="176" t="s">
        <v>866</v>
      </c>
      <c r="V60" s="176" t="s">
        <v>867</v>
      </c>
      <c r="W60" s="166">
        <v>42457</v>
      </c>
      <c r="X60" s="174">
        <f>W60-R60</f>
        <v>11</v>
      </c>
    </row>
    <row r="61" spans="10:24">
      <c r="J61" s="166">
        <v>42423</v>
      </c>
      <c r="K61" s="178"/>
      <c r="L61" s="168" t="s">
        <v>1020</v>
      </c>
      <c r="M61" s="168" t="s">
        <v>878</v>
      </c>
      <c r="N61" s="168"/>
      <c r="O61" s="166">
        <v>42430</v>
      </c>
      <c r="P61" s="174">
        <f>O61-J61</f>
        <v>7</v>
      </c>
      <c r="R61" s="166">
        <v>42457</v>
      </c>
      <c r="S61" s="178"/>
      <c r="T61" s="176" t="s">
        <v>1021</v>
      </c>
      <c r="U61" s="176" t="s">
        <v>876</v>
      </c>
      <c r="V61" s="176" t="s">
        <v>845</v>
      </c>
      <c r="W61" s="166"/>
      <c r="X61" s="175"/>
    </row>
    <row r="62" spans="10:24">
      <c r="J62" s="166">
        <v>42415</v>
      </c>
      <c r="K62" s="178"/>
      <c r="L62" s="168" t="s">
        <v>1022</v>
      </c>
      <c r="M62" s="168" t="s">
        <v>835</v>
      </c>
      <c r="N62" s="168"/>
      <c r="O62" s="166"/>
      <c r="P62" s="175"/>
      <c r="R62" s="166">
        <v>42458</v>
      </c>
      <c r="S62" s="178"/>
      <c r="T62" s="176" t="s">
        <v>1023</v>
      </c>
      <c r="U62" s="176" t="s">
        <v>916</v>
      </c>
      <c r="V62" s="176" t="s">
        <v>836</v>
      </c>
      <c r="W62" s="166"/>
      <c r="X62" s="175"/>
    </row>
    <row r="63" spans="10:24">
      <c r="J63" s="166">
        <v>42422</v>
      </c>
      <c r="K63" s="178"/>
      <c r="L63" s="168" t="s">
        <v>1024</v>
      </c>
      <c r="M63" s="168" t="s">
        <v>835</v>
      </c>
      <c r="N63" s="168"/>
      <c r="O63" s="166"/>
      <c r="P63" s="175"/>
      <c r="R63" s="166">
        <v>42458</v>
      </c>
      <c r="S63" s="178"/>
      <c r="T63" s="176" t="s">
        <v>1025</v>
      </c>
      <c r="U63" s="176" t="s">
        <v>1026</v>
      </c>
      <c r="V63" s="176" t="s">
        <v>845</v>
      </c>
      <c r="W63" s="166"/>
      <c r="X63" s="175"/>
    </row>
    <row r="64" spans="10:24">
      <c r="J64" s="166">
        <v>42425</v>
      </c>
      <c r="K64" s="178"/>
      <c r="L64" s="168" t="s">
        <v>1027</v>
      </c>
      <c r="M64" s="168" t="s">
        <v>835</v>
      </c>
      <c r="N64" s="168"/>
      <c r="O64" s="166"/>
      <c r="P64" s="175"/>
      <c r="R64" s="166">
        <v>42459</v>
      </c>
      <c r="S64" s="178"/>
      <c r="T64" s="176" t="s">
        <v>1028</v>
      </c>
      <c r="U64" s="176" t="s">
        <v>916</v>
      </c>
      <c r="V64" s="176" t="s">
        <v>836</v>
      </c>
      <c r="W64" s="166">
        <v>42466</v>
      </c>
      <c r="X64" s="174">
        <f>W64-R64</f>
        <v>7</v>
      </c>
    </row>
    <row r="65" spans="2:24">
      <c r="J65" s="166">
        <v>42422</v>
      </c>
      <c r="K65" s="178"/>
      <c r="L65" s="168" t="s">
        <v>1029</v>
      </c>
      <c r="M65" s="168" t="s">
        <v>841</v>
      </c>
      <c r="N65" s="168"/>
      <c r="O65" s="166">
        <v>42422</v>
      </c>
      <c r="P65" s="175"/>
      <c r="R65" s="166">
        <v>42459</v>
      </c>
      <c r="S65" s="178"/>
      <c r="T65" s="176" t="s">
        <v>1030</v>
      </c>
      <c r="U65" s="176" t="s">
        <v>863</v>
      </c>
      <c r="V65" s="176" t="s">
        <v>836</v>
      </c>
      <c r="W65" s="166"/>
      <c r="X65" s="175"/>
    </row>
    <row r="66" spans="2:24">
      <c r="J66" s="166">
        <v>42425</v>
      </c>
      <c r="K66" s="178"/>
      <c r="L66" s="168" t="s">
        <v>1031</v>
      </c>
      <c r="M66" s="168" t="s">
        <v>930</v>
      </c>
      <c r="N66" s="168"/>
      <c r="O66" s="166">
        <v>42431</v>
      </c>
      <c r="P66" s="174">
        <f>O66-J66</f>
        <v>6</v>
      </c>
      <c r="R66" s="166">
        <v>42459</v>
      </c>
      <c r="S66" s="178"/>
      <c r="T66" s="176" t="s">
        <v>1032</v>
      </c>
      <c r="U66" s="176" t="s">
        <v>835</v>
      </c>
      <c r="V66" s="176" t="s">
        <v>836</v>
      </c>
      <c r="W66" s="166"/>
      <c r="X66" s="175"/>
    </row>
    <row r="67" spans="2:24">
      <c r="J67" s="166">
        <v>42425</v>
      </c>
      <c r="K67" s="178"/>
      <c r="L67" s="168" t="s">
        <v>1033</v>
      </c>
      <c r="M67" s="168" t="s">
        <v>878</v>
      </c>
      <c r="N67" s="168" t="s">
        <v>836</v>
      </c>
      <c r="O67" s="166">
        <v>42436</v>
      </c>
      <c r="P67" s="174">
        <f>O67-J67</f>
        <v>11</v>
      </c>
      <c r="R67" s="166">
        <v>42459</v>
      </c>
      <c r="S67" s="178"/>
      <c r="T67" s="176" t="s">
        <v>1034</v>
      </c>
      <c r="U67" s="176" t="s">
        <v>835</v>
      </c>
      <c r="V67" s="176" t="s">
        <v>836</v>
      </c>
      <c r="W67" s="166"/>
      <c r="X67" s="175"/>
    </row>
    <row r="68" spans="2:24">
      <c r="J68" s="166">
        <v>42425</v>
      </c>
      <c r="K68" s="178"/>
      <c r="L68" s="168" t="s">
        <v>1035</v>
      </c>
      <c r="M68" s="168" t="s">
        <v>835</v>
      </c>
      <c r="N68" s="168" t="s">
        <v>836</v>
      </c>
      <c r="O68" s="166"/>
      <c r="P68" s="175"/>
      <c r="R68" s="166">
        <v>42459</v>
      </c>
      <c r="S68" s="178"/>
      <c r="T68" s="176" t="s">
        <v>1036</v>
      </c>
      <c r="U68" s="176" t="s">
        <v>1037</v>
      </c>
      <c r="V68" s="176" t="s">
        <v>867</v>
      </c>
      <c r="W68" s="166"/>
      <c r="X68" s="175"/>
    </row>
    <row r="69" spans="2:24">
      <c r="J69" s="166">
        <v>42419</v>
      </c>
      <c r="K69" s="178"/>
      <c r="L69" s="168" t="s">
        <v>1038</v>
      </c>
      <c r="M69" s="168" t="s">
        <v>835</v>
      </c>
      <c r="N69" s="168" t="s">
        <v>836</v>
      </c>
      <c r="O69" s="166"/>
      <c r="P69" s="175"/>
      <c r="R69" s="166">
        <v>42460</v>
      </c>
      <c r="S69" s="178"/>
      <c r="T69" s="176" t="s">
        <v>1039</v>
      </c>
      <c r="U69" s="176" t="s">
        <v>835</v>
      </c>
      <c r="V69" s="176" t="s">
        <v>836</v>
      </c>
      <c r="W69" s="166"/>
      <c r="X69" s="175"/>
    </row>
    <row r="70" spans="2:24">
      <c r="J70" s="166">
        <v>42422</v>
      </c>
      <c r="K70" s="178"/>
      <c r="L70" s="168" t="s">
        <v>1040</v>
      </c>
      <c r="M70" s="168" t="s">
        <v>835</v>
      </c>
      <c r="N70" s="168" t="s">
        <v>836</v>
      </c>
      <c r="O70" s="166"/>
      <c r="P70" s="175"/>
      <c r="R70" s="166">
        <v>42457</v>
      </c>
      <c r="S70" s="178"/>
      <c r="T70" s="176" t="s">
        <v>1041</v>
      </c>
      <c r="U70" s="176" t="s">
        <v>1042</v>
      </c>
      <c r="V70" s="176" t="s">
        <v>845</v>
      </c>
      <c r="W70" s="166"/>
      <c r="X70" s="175"/>
    </row>
    <row r="71" spans="2:24">
      <c r="J71" s="166">
        <v>42422</v>
      </c>
      <c r="K71" s="178"/>
      <c r="L71" s="168" t="s">
        <v>1043</v>
      </c>
      <c r="M71" s="168" t="s">
        <v>835</v>
      </c>
      <c r="N71" s="168" t="s">
        <v>836</v>
      </c>
      <c r="O71" s="166"/>
      <c r="P71" s="175"/>
    </row>
    <row r="72" spans="2:24">
      <c r="J72" s="166">
        <v>42425</v>
      </c>
      <c r="K72" s="178"/>
      <c r="L72" s="168" t="s">
        <v>1044</v>
      </c>
      <c r="M72" s="168" t="s">
        <v>835</v>
      </c>
      <c r="N72" s="168" t="s">
        <v>836</v>
      </c>
      <c r="O72" s="166"/>
      <c r="P72" s="175"/>
    </row>
    <row r="73" spans="2:24">
      <c r="J73" s="166">
        <v>42426</v>
      </c>
      <c r="K73" s="178"/>
      <c r="L73" s="168" t="s">
        <v>1045</v>
      </c>
      <c r="M73" s="168" t="s">
        <v>835</v>
      </c>
      <c r="N73" s="168" t="s">
        <v>836</v>
      </c>
      <c r="O73" s="166"/>
      <c r="P73" s="175"/>
    </row>
    <row r="74" spans="2:24">
      <c r="J74" s="166">
        <v>42429</v>
      </c>
      <c r="K74" s="178"/>
      <c r="L74" s="168" t="s">
        <v>1046</v>
      </c>
      <c r="M74" s="168" t="s">
        <v>835</v>
      </c>
      <c r="N74" s="168" t="s">
        <v>836</v>
      </c>
      <c r="O74" s="166"/>
      <c r="P74" s="175"/>
    </row>
    <row r="75" spans="2:24">
      <c r="J75" s="166">
        <v>42429</v>
      </c>
      <c r="K75" s="178"/>
      <c r="L75" s="168" t="s">
        <v>1047</v>
      </c>
      <c r="M75" s="168" t="s">
        <v>835</v>
      </c>
      <c r="N75" s="168" t="s">
        <v>836</v>
      </c>
      <c r="O75" s="166"/>
      <c r="P75" s="175"/>
    </row>
    <row r="79" spans="2:24" ht="67.5">
      <c r="B79" s="184" t="s">
        <v>1048</v>
      </c>
      <c r="C79" s="184" t="s">
        <v>1049</v>
      </c>
      <c r="D79" s="184" t="s">
        <v>1050</v>
      </c>
      <c r="L79" s="184" t="s">
        <v>597</v>
      </c>
      <c r="M79" s="178">
        <f>10+16+19</f>
        <v>45</v>
      </c>
      <c r="N79" s="185">
        <f t="shared" ref="N79:N84" si="1">M79/166</f>
        <v>0.27108433734939757</v>
      </c>
    </row>
    <row r="80" spans="2:24">
      <c r="B80" s="178">
        <f>6+25+17</f>
        <v>48</v>
      </c>
      <c r="C80" s="178">
        <f>2</f>
        <v>2</v>
      </c>
      <c r="D80" s="178">
        <f>166-B80-C80</f>
        <v>116</v>
      </c>
      <c r="L80" s="184" t="s">
        <v>596</v>
      </c>
      <c r="M80" s="178">
        <f>12+40+31</f>
        <v>83</v>
      </c>
      <c r="N80" s="185">
        <f t="shared" si="1"/>
        <v>0.5</v>
      </c>
    </row>
    <row r="81" spans="2:14" ht="22.5">
      <c r="B81" s="185">
        <f>B80/166</f>
        <v>0.28915662650602408</v>
      </c>
      <c r="C81" s="185">
        <f>C80/166</f>
        <v>1.2048192771084338E-2</v>
      </c>
      <c r="D81" s="185">
        <f>D80/166</f>
        <v>0.6987951807228916</v>
      </c>
      <c r="L81" s="184" t="s">
        <v>1051</v>
      </c>
      <c r="M81" s="178">
        <f>2</f>
        <v>2</v>
      </c>
      <c r="N81" s="185">
        <f t="shared" si="1"/>
        <v>1.2048192771084338E-2</v>
      </c>
    </row>
    <row r="82" spans="2:14">
      <c r="L82" s="184" t="s">
        <v>1052</v>
      </c>
      <c r="M82" s="178">
        <f>2+12+13</f>
        <v>27</v>
      </c>
      <c r="N82" s="185">
        <f t="shared" si="1"/>
        <v>0.16265060240963855</v>
      </c>
    </row>
    <row r="83" spans="2:14" ht="22.5">
      <c r="L83" s="184" t="s">
        <v>592</v>
      </c>
      <c r="M83" s="178">
        <f>1+1+2</f>
        <v>4</v>
      </c>
      <c r="N83" s="185">
        <f t="shared" si="1"/>
        <v>2.4096385542168676E-2</v>
      </c>
    </row>
    <row r="84" spans="2:14">
      <c r="L84" s="184" t="s">
        <v>593</v>
      </c>
      <c r="M84" s="178">
        <f>3+2</f>
        <v>5</v>
      </c>
      <c r="N84" s="185">
        <f t="shared" si="1"/>
        <v>3.0120481927710843E-2</v>
      </c>
    </row>
    <row r="90" spans="2:14" ht="22.5">
      <c r="B90" s="184" t="s">
        <v>1053</v>
      </c>
      <c r="C90" s="178">
        <f>1</f>
        <v>1</v>
      </c>
      <c r="D90" s="185">
        <f>C90/166</f>
        <v>6.024096385542169E-3</v>
      </c>
    </row>
    <row r="91" spans="2:14" ht="22.5">
      <c r="B91" s="184" t="s">
        <v>609</v>
      </c>
      <c r="C91" s="178">
        <f>21+16+19</f>
        <v>56</v>
      </c>
      <c r="D91" s="185">
        <f t="shared" ref="D91:D100" si="2">C91/166</f>
        <v>0.33734939759036142</v>
      </c>
    </row>
    <row r="92" spans="2:14" ht="22.5">
      <c r="B92" s="184" t="s">
        <v>592</v>
      </c>
      <c r="C92" s="178">
        <f>1+4+3</f>
        <v>8</v>
      </c>
      <c r="D92" s="185">
        <f t="shared" si="2"/>
        <v>4.8192771084337352E-2</v>
      </c>
    </row>
    <row r="93" spans="2:14" ht="33.75">
      <c r="B93" s="184" t="s">
        <v>1054</v>
      </c>
      <c r="C93" s="178">
        <f>3+29+34</f>
        <v>66</v>
      </c>
      <c r="D93" s="185">
        <f t="shared" si="2"/>
        <v>0.39759036144578314</v>
      </c>
    </row>
    <row r="94" spans="2:14" ht="33.75">
      <c r="B94" s="184" t="s">
        <v>1055</v>
      </c>
      <c r="C94" s="178">
        <f>1+13+6</f>
        <v>20</v>
      </c>
      <c r="D94" s="185">
        <f t="shared" si="2"/>
        <v>0.12048192771084337</v>
      </c>
    </row>
    <row r="95" spans="2:14">
      <c r="B95" s="184" t="s">
        <v>605</v>
      </c>
      <c r="C95" s="178">
        <f>1+2</f>
        <v>3</v>
      </c>
      <c r="D95" s="185">
        <f t="shared" si="2"/>
        <v>1.8072289156626505E-2</v>
      </c>
    </row>
    <row r="96" spans="2:14" ht="22.5">
      <c r="B96" s="184" t="s">
        <v>797</v>
      </c>
      <c r="C96" s="178">
        <f>4+1</f>
        <v>5</v>
      </c>
      <c r="D96" s="185">
        <f t="shared" si="2"/>
        <v>3.0120481927710843E-2</v>
      </c>
    </row>
    <row r="97" spans="2:4" ht="33.75">
      <c r="B97" s="184" t="s">
        <v>1056</v>
      </c>
      <c r="C97" s="178">
        <f>1</f>
        <v>1</v>
      </c>
      <c r="D97" s="185">
        <f t="shared" si="2"/>
        <v>6.024096385542169E-3</v>
      </c>
    </row>
    <row r="98" spans="2:4">
      <c r="B98" s="184" t="s">
        <v>1057</v>
      </c>
      <c r="C98" s="178">
        <f>3</f>
        <v>3</v>
      </c>
      <c r="D98" s="185">
        <f t="shared" si="2"/>
        <v>1.8072289156626505E-2</v>
      </c>
    </row>
    <row r="99" spans="2:4" ht="22.5">
      <c r="B99" s="184" t="s">
        <v>1058</v>
      </c>
      <c r="C99" s="178">
        <f>1+1</f>
        <v>2</v>
      </c>
      <c r="D99" s="185">
        <f t="shared" si="2"/>
        <v>1.2048192771084338E-2</v>
      </c>
    </row>
    <row r="100" spans="2:4">
      <c r="B100" s="184" t="s">
        <v>803</v>
      </c>
      <c r="C100" s="178">
        <f>1</f>
        <v>1</v>
      </c>
      <c r="D100" s="185">
        <f t="shared" si="2"/>
        <v>6.024096385542169E-3</v>
      </c>
    </row>
  </sheetData>
  <mergeCells count="3">
    <mergeCell ref="B2:H2"/>
    <mergeCell ref="J2:P2"/>
    <mergeCell ref="R2:X2"/>
  </mergeCells>
  <conditionalFormatting sqref="L39:L43 L45:L47 O39">
    <cfRule type="timePeriod" dxfId="0" priority="8" timePeriod="yesterday">
      <formula>FLOOR(L39,1)=TODAY()-1</formula>
    </cfRule>
  </conditionalFormatting>
  <pageMargins left="0.7" right="0.7" top="0.75" bottom="0.75" header="0.3" footer="0.3"/>
  <pageSetup paperSize="9" orientation="portrait" verticalDpi="599"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4"/>
  <sheetViews>
    <sheetView showGridLines="0" zoomScale="130" zoomScaleNormal="130" workbookViewId="0">
      <pane ySplit="8" topLeftCell="A9" activePane="bottomLeft" state="frozen"/>
      <selection pane="bottomLeft" activeCell="J12" sqref="J12:U14"/>
      <selection activeCell="J12" sqref="J12:U14"/>
    </sheetView>
  </sheetViews>
  <sheetFormatPr defaultColWidth="11.42578125" defaultRowHeight="12.75"/>
  <cols>
    <col min="1" max="1" width="3" style="1" bestFit="1" customWidth="1"/>
    <col min="2" max="2" width="12" style="1" bestFit="1" customWidth="1"/>
    <col min="3" max="4" width="15" style="1" customWidth="1"/>
    <col min="5" max="5" width="15" style="54" customWidth="1"/>
    <col min="6" max="6" width="15" style="1" customWidth="1"/>
    <col min="7" max="7" width="15" style="54" customWidth="1"/>
    <col min="8" max="8" width="2.5703125" style="1" customWidth="1"/>
    <col min="9" max="9" width="15.85546875" style="1" customWidth="1"/>
    <col min="10" max="10" width="26.28515625" style="1" customWidth="1"/>
    <col min="11" max="11" width="40.85546875" style="1" customWidth="1"/>
    <col min="12" max="12" width="10.7109375" style="35" customWidth="1"/>
    <col min="13" max="13" width="10.5703125" style="35" customWidth="1"/>
    <col min="14" max="14" width="38.7109375" style="1" customWidth="1"/>
    <col min="15" max="16" width="11.85546875" style="1" customWidth="1"/>
    <col min="17" max="17" width="13.28515625" style="1" customWidth="1"/>
    <col min="18" max="18" width="13.5703125" style="35" customWidth="1"/>
    <col min="19" max="19" width="13.5703125" style="1" customWidth="1"/>
    <col min="20" max="20" width="14.7109375" style="35" customWidth="1"/>
    <col min="21" max="21" width="13.42578125" style="35" bestFit="1" customWidth="1"/>
    <col min="22" max="22" width="2.7109375" style="1" customWidth="1"/>
    <col min="23" max="25" width="23" style="1" customWidth="1"/>
    <col min="26" max="26" width="3.140625" style="1" customWidth="1"/>
    <col min="27" max="16384" width="11.42578125" style="1"/>
  </cols>
  <sheetData>
    <row r="1" spans="1:26" s="10" customFormat="1" ht="13.5" thickBot="1">
      <c r="A1" s="2"/>
      <c r="B1" s="2"/>
      <c r="C1" s="2"/>
      <c r="D1" s="2"/>
      <c r="E1" s="4"/>
      <c r="F1" s="2"/>
      <c r="G1" s="4"/>
      <c r="H1" s="2"/>
      <c r="I1" s="2"/>
      <c r="J1" s="3"/>
      <c r="K1" s="2"/>
      <c r="L1" s="55"/>
      <c r="M1" s="55"/>
      <c r="N1" s="2"/>
      <c r="O1" s="2"/>
      <c r="P1" s="4"/>
      <c r="Q1" s="2"/>
      <c r="R1" s="30"/>
      <c r="S1" s="2"/>
      <c r="T1" s="30"/>
      <c r="U1" s="2"/>
      <c r="V1" s="2"/>
      <c r="W1" s="2"/>
      <c r="X1" s="2"/>
      <c r="Y1" s="2"/>
      <c r="Z1" s="2"/>
    </row>
    <row r="2" spans="1:26" s="10" customFormat="1">
      <c r="A2" s="2"/>
      <c r="B2" s="5"/>
      <c r="C2" s="18"/>
      <c r="D2" s="18"/>
      <c r="E2" s="52"/>
      <c r="F2" s="18"/>
      <c r="G2" s="52"/>
      <c r="H2" s="47"/>
      <c r="I2" s="18"/>
      <c r="J2" s="286" t="s">
        <v>0</v>
      </c>
      <c r="K2" s="286"/>
      <c r="L2" s="286"/>
      <c r="M2" s="56"/>
      <c r="N2" s="6"/>
      <c r="O2" s="16"/>
      <c r="P2" s="7"/>
      <c r="Q2" s="6"/>
      <c r="R2" s="31"/>
      <c r="S2" s="6"/>
      <c r="T2" s="31"/>
      <c r="U2" s="16"/>
      <c r="V2" s="7"/>
      <c r="W2" s="6"/>
      <c r="X2" s="6"/>
      <c r="Y2" s="24"/>
      <c r="Z2" s="2"/>
    </row>
    <row r="3" spans="1:26" s="10" customFormat="1">
      <c r="A3" s="2"/>
      <c r="B3" s="8"/>
      <c r="C3" s="9"/>
      <c r="D3" s="9"/>
      <c r="E3" s="9"/>
      <c r="F3" s="9"/>
      <c r="G3" s="9"/>
      <c r="H3" s="40"/>
      <c r="I3" s="9"/>
      <c r="J3" s="287"/>
      <c r="K3" s="287"/>
      <c r="L3" s="287"/>
      <c r="M3" s="57"/>
      <c r="P3" s="11"/>
      <c r="R3" s="92"/>
      <c r="T3" s="32"/>
      <c r="U3" s="17"/>
      <c r="V3" s="11"/>
      <c r="W3" s="12"/>
      <c r="X3" s="12"/>
      <c r="Y3" s="25"/>
      <c r="Z3" s="2"/>
    </row>
    <row r="4" spans="1:26" s="10" customFormat="1">
      <c r="A4" s="2"/>
      <c r="B4" s="13"/>
      <c r="C4" s="14"/>
      <c r="D4" s="14"/>
      <c r="E4" s="9"/>
      <c r="F4" s="14"/>
      <c r="G4" s="9"/>
      <c r="H4" s="39"/>
      <c r="I4" s="14"/>
      <c r="J4" s="287"/>
      <c r="K4" s="287"/>
      <c r="L4" s="287"/>
      <c r="M4" s="58"/>
      <c r="N4" s="12"/>
      <c r="O4" s="12"/>
      <c r="P4" s="17"/>
      <c r="Q4" s="12"/>
      <c r="R4" s="32"/>
      <c r="S4" s="12"/>
      <c r="T4" s="32"/>
      <c r="U4" s="23"/>
      <c r="V4" s="46"/>
      <c r="W4" s="12"/>
      <c r="X4" s="12"/>
      <c r="Y4" s="25"/>
      <c r="Z4" s="2"/>
    </row>
    <row r="5" spans="1:26" s="10" customFormat="1" ht="24" thickBot="1">
      <c r="A5" s="2"/>
      <c r="B5" s="48"/>
      <c r="C5" s="19"/>
      <c r="D5" s="19"/>
      <c r="E5" s="53"/>
      <c r="F5" s="19"/>
      <c r="G5" s="53"/>
      <c r="H5" s="49"/>
      <c r="I5" s="38"/>
      <c r="J5" s="288"/>
      <c r="K5" s="288"/>
      <c r="L5" s="288"/>
      <c r="M5" s="105"/>
      <c r="N5" s="19"/>
      <c r="O5" s="19"/>
      <c r="P5" s="19"/>
      <c r="Q5" s="19"/>
      <c r="R5" s="33"/>
      <c r="S5" s="19"/>
      <c r="T5" s="33"/>
      <c r="U5" s="19"/>
      <c r="V5" s="49"/>
      <c r="W5" s="26"/>
      <c r="X5" s="26"/>
      <c r="Y5" s="27"/>
      <c r="Z5" s="2"/>
    </row>
    <row r="6" spans="1:26" s="10" customFormat="1" ht="13.5" thickBot="1">
      <c r="A6" s="2"/>
      <c r="B6" s="2"/>
      <c r="C6" s="2"/>
      <c r="D6" s="2"/>
      <c r="E6" s="4"/>
      <c r="F6" s="2"/>
      <c r="G6" s="4"/>
      <c r="H6" s="2"/>
      <c r="I6" s="2"/>
      <c r="J6" s="2"/>
      <c r="K6" s="2"/>
      <c r="L6" s="55"/>
      <c r="M6" s="55"/>
      <c r="N6" s="2"/>
      <c r="O6" s="2"/>
      <c r="P6" s="2"/>
      <c r="Q6" s="2"/>
      <c r="R6" s="30"/>
      <c r="S6" s="2"/>
      <c r="T6" s="2"/>
      <c r="U6" s="2"/>
      <c r="V6" s="2"/>
      <c r="W6" s="2"/>
      <c r="X6" s="2"/>
      <c r="Y6" s="2"/>
      <c r="Z6" s="2"/>
    </row>
    <row r="7" spans="1:26" s="10" customFormat="1" ht="13.5" thickBot="1">
      <c r="A7" s="2"/>
      <c r="B7" s="289" t="s">
        <v>1</v>
      </c>
      <c r="C7" s="290"/>
      <c r="D7" s="290"/>
      <c r="E7" s="290"/>
      <c r="F7" s="290"/>
      <c r="G7" s="291"/>
      <c r="H7" s="2"/>
      <c r="I7" s="292" t="s">
        <v>2</v>
      </c>
      <c r="J7" s="293"/>
      <c r="K7" s="293"/>
      <c r="L7" s="294"/>
      <c r="M7" s="294"/>
      <c r="N7" s="293"/>
      <c r="O7" s="293"/>
      <c r="P7" s="293"/>
      <c r="Q7" s="293"/>
      <c r="R7" s="293"/>
      <c r="S7" s="293"/>
      <c r="T7" s="293"/>
      <c r="U7" s="295"/>
      <c r="V7" s="2"/>
      <c r="W7" s="292" t="s">
        <v>3</v>
      </c>
      <c r="X7" s="293"/>
      <c r="Y7" s="296"/>
      <c r="Z7" s="2"/>
    </row>
    <row r="8" spans="1:26" ht="39" thickBot="1">
      <c r="A8" s="2"/>
      <c r="B8" s="44" t="s">
        <v>4</v>
      </c>
      <c r="C8" s="36" t="s">
        <v>5</v>
      </c>
      <c r="D8" s="36" t="s">
        <v>6</v>
      </c>
      <c r="E8" s="36" t="s">
        <v>7</v>
      </c>
      <c r="F8" s="36" t="s">
        <v>8</v>
      </c>
      <c r="G8" s="36" t="s">
        <v>9</v>
      </c>
      <c r="H8" s="2"/>
      <c r="I8" s="107" t="s">
        <v>10</v>
      </c>
      <c r="J8" s="108" t="s">
        <v>11</v>
      </c>
      <c r="K8" s="108" t="s">
        <v>12</v>
      </c>
      <c r="L8" s="108" t="s">
        <v>13</v>
      </c>
      <c r="M8" s="108" t="s">
        <v>14</v>
      </c>
      <c r="N8" s="108" t="s">
        <v>15</v>
      </c>
      <c r="O8" s="108" t="s">
        <v>16</v>
      </c>
      <c r="P8" s="108" t="s">
        <v>17</v>
      </c>
      <c r="Q8" s="108" t="s">
        <v>18</v>
      </c>
      <c r="R8" s="108" t="s">
        <v>19</v>
      </c>
      <c r="S8" s="108" t="s">
        <v>20</v>
      </c>
      <c r="T8" s="109" t="s">
        <v>21</v>
      </c>
      <c r="U8" s="110" t="s">
        <v>22</v>
      </c>
      <c r="V8" s="2"/>
      <c r="W8" s="44" t="s">
        <v>23</v>
      </c>
      <c r="X8" s="36" t="s">
        <v>24</v>
      </c>
      <c r="Y8" s="45" t="s">
        <v>25</v>
      </c>
      <c r="Z8" s="2"/>
    </row>
    <row r="9" spans="1:26" s="15" customFormat="1" ht="45">
      <c r="A9" s="2"/>
      <c r="B9" s="28" t="s">
        <v>80</v>
      </c>
      <c r="C9" s="28" t="s">
        <v>81</v>
      </c>
      <c r="D9" s="28" t="s">
        <v>82</v>
      </c>
      <c r="E9" s="28" t="s">
        <v>83</v>
      </c>
      <c r="F9" s="28" t="s">
        <v>84</v>
      </c>
      <c r="G9" s="28" t="s">
        <v>85</v>
      </c>
      <c r="H9" s="2"/>
      <c r="I9" s="111" t="s">
        <v>86</v>
      </c>
      <c r="J9" s="112" t="s">
        <v>87</v>
      </c>
      <c r="K9" s="112" t="s">
        <v>88</v>
      </c>
      <c r="L9" s="113" t="s">
        <v>35</v>
      </c>
      <c r="M9" s="113" t="s">
        <v>36</v>
      </c>
      <c r="N9" s="112" t="s">
        <v>89</v>
      </c>
      <c r="O9" s="113" t="s">
        <v>90</v>
      </c>
      <c r="P9" s="113" t="s">
        <v>90</v>
      </c>
      <c r="Q9" s="113" t="s">
        <v>39</v>
      </c>
      <c r="R9" s="113" t="s">
        <v>40</v>
      </c>
      <c r="S9" s="113" t="s">
        <v>41</v>
      </c>
      <c r="T9" s="114">
        <v>0.8</v>
      </c>
      <c r="U9" s="115" t="s">
        <v>42</v>
      </c>
      <c r="V9" s="2"/>
      <c r="W9" s="42"/>
      <c r="X9" s="28"/>
      <c r="Y9" s="43"/>
      <c r="Z9" s="1"/>
    </row>
    <row r="10" spans="1:26" s="15" customFormat="1" ht="45.75" thickBot="1">
      <c r="A10" s="2"/>
      <c r="B10" s="28" t="s">
        <v>80</v>
      </c>
      <c r="C10" s="28" t="s">
        <v>81</v>
      </c>
      <c r="D10" s="28" t="s">
        <v>82</v>
      </c>
      <c r="E10" s="28" t="s">
        <v>83</v>
      </c>
      <c r="F10" s="28" t="s">
        <v>84</v>
      </c>
      <c r="G10" s="28" t="s">
        <v>85</v>
      </c>
      <c r="H10" s="2"/>
      <c r="I10" s="42" t="s">
        <v>91</v>
      </c>
      <c r="J10" s="28" t="s">
        <v>92</v>
      </c>
      <c r="K10" s="28" t="s">
        <v>93</v>
      </c>
      <c r="L10" s="29" t="s">
        <v>35</v>
      </c>
      <c r="M10" s="29" t="s">
        <v>36</v>
      </c>
      <c r="N10" s="28" t="s">
        <v>94</v>
      </c>
      <c r="O10" s="29" t="s">
        <v>90</v>
      </c>
      <c r="P10" s="29" t="s">
        <v>90</v>
      </c>
      <c r="Q10" s="29" t="s">
        <v>39</v>
      </c>
      <c r="R10" s="29" t="s">
        <v>40</v>
      </c>
      <c r="S10" s="29" t="s">
        <v>41</v>
      </c>
      <c r="T10" s="34">
        <v>0.8</v>
      </c>
      <c r="U10" s="51" t="s">
        <v>42</v>
      </c>
      <c r="V10" s="2"/>
      <c r="W10" s="121"/>
      <c r="X10" s="122"/>
      <c r="Y10" s="123"/>
      <c r="Z10" s="1"/>
    </row>
    <row r="11" spans="1:26" ht="45">
      <c r="A11" s="2"/>
      <c r="B11" s="28" t="s">
        <v>80</v>
      </c>
      <c r="C11" s="28" t="s">
        <v>81</v>
      </c>
      <c r="D11" s="28" t="s">
        <v>82</v>
      </c>
      <c r="E11" s="28" t="s">
        <v>83</v>
      </c>
      <c r="F11" s="28" t="s">
        <v>84</v>
      </c>
      <c r="G11" s="28" t="s">
        <v>85</v>
      </c>
      <c r="H11" s="2"/>
      <c r="I11" s="42" t="s">
        <v>95</v>
      </c>
      <c r="J11" s="28" t="s">
        <v>96</v>
      </c>
      <c r="K11" s="28" t="s">
        <v>97</v>
      </c>
      <c r="L11" s="29" t="s">
        <v>35</v>
      </c>
      <c r="M11" s="29" t="s">
        <v>36</v>
      </c>
      <c r="N11" s="28" t="s">
        <v>98</v>
      </c>
      <c r="O11" s="29" t="s">
        <v>99</v>
      </c>
      <c r="P11" s="29" t="s">
        <v>99</v>
      </c>
      <c r="Q11" s="29" t="s">
        <v>39</v>
      </c>
      <c r="R11" s="29" t="s">
        <v>40</v>
      </c>
      <c r="S11" s="29" t="s">
        <v>41</v>
      </c>
      <c r="T11" s="34">
        <v>0.9</v>
      </c>
      <c r="U11" s="51" t="s">
        <v>42</v>
      </c>
      <c r="V11" s="2"/>
      <c r="W11" s="111"/>
      <c r="X11" s="112"/>
      <c r="Y11" s="124"/>
    </row>
    <row r="12" spans="1:26" ht="56.25">
      <c r="A12" s="2"/>
      <c r="B12" s="28" t="s">
        <v>80</v>
      </c>
      <c r="C12" s="28" t="s">
        <v>100</v>
      </c>
      <c r="D12" s="28" t="s">
        <v>82</v>
      </c>
      <c r="E12" s="28" t="s">
        <v>83</v>
      </c>
      <c r="F12" s="28" t="s">
        <v>101</v>
      </c>
      <c r="G12" s="28" t="s">
        <v>102</v>
      </c>
      <c r="H12" s="2"/>
      <c r="I12" s="42" t="s">
        <v>103</v>
      </c>
      <c r="J12" s="28" t="s">
        <v>104</v>
      </c>
      <c r="K12" s="28" t="s">
        <v>105</v>
      </c>
      <c r="L12" s="29" t="s">
        <v>106</v>
      </c>
      <c r="M12" s="29" t="s">
        <v>58</v>
      </c>
      <c r="N12" s="28" t="s">
        <v>107</v>
      </c>
      <c r="O12" s="29" t="s">
        <v>108</v>
      </c>
      <c r="P12" s="29" t="s">
        <v>108</v>
      </c>
      <c r="Q12" s="29" t="s">
        <v>39</v>
      </c>
      <c r="R12" s="29" t="s">
        <v>40</v>
      </c>
      <c r="S12" s="29" t="s">
        <v>41</v>
      </c>
      <c r="T12" s="29" t="s">
        <v>109</v>
      </c>
      <c r="U12" s="51" t="s">
        <v>42</v>
      </c>
      <c r="V12" s="2"/>
      <c r="W12" s="93"/>
      <c r="X12" s="28"/>
      <c r="Y12" s="43"/>
    </row>
    <row r="13" spans="1:26" ht="45">
      <c r="B13" s="28" t="s">
        <v>80</v>
      </c>
      <c r="C13" s="28" t="s">
        <v>110</v>
      </c>
      <c r="D13" s="28" t="s">
        <v>82</v>
      </c>
      <c r="E13" s="28" t="s">
        <v>83</v>
      </c>
      <c r="F13" s="28" t="s">
        <v>111</v>
      </c>
      <c r="G13" s="28" t="s">
        <v>112</v>
      </c>
      <c r="I13" s="42" t="s">
        <v>113</v>
      </c>
      <c r="J13" s="28" t="s">
        <v>114</v>
      </c>
      <c r="K13" s="28" t="s">
        <v>115</v>
      </c>
      <c r="L13" s="29" t="s">
        <v>35</v>
      </c>
      <c r="M13" s="29" t="s">
        <v>36</v>
      </c>
      <c r="N13" s="28" t="s">
        <v>116</v>
      </c>
      <c r="O13" s="29" t="s">
        <v>117</v>
      </c>
      <c r="P13" s="29" t="s">
        <v>117</v>
      </c>
      <c r="Q13" s="29" t="s">
        <v>39</v>
      </c>
      <c r="R13" s="29" t="s">
        <v>40</v>
      </c>
      <c r="S13" s="29" t="s">
        <v>41</v>
      </c>
      <c r="T13" s="34">
        <v>0.85</v>
      </c>
      <c r="U13" s="51" t="s">
        <v>42</v>
      </c>
      <c r="W13" s="42"/>
      <c r="X13" s="28"/>
      <c r="Y13" s="43"/>
    </row>
    <row r="14" spans="1:26" ht="34.5" thickBot="1">
      <c r="B14" s="28" t="s">
        <v>80</v>
      </c>
      <c r="C14" s="28" t="s">
        <v>118</v>
      </c>
      <c r="D14" s="28" t="s">
        <v>82</v>
      </c>
      <c r="E14" s="28" t="s">
        <v>83</v>
      </c>
      <c r="F14" s="28" t="s">
        <v>119</v>
      </c>
      <c r="G14" s="28" t="s">
        <v>120</v>
      </c>
      <c r="I14" s="116" t="s">
        <v>121</v>
      </c>
      <c r="J14" s="117" t="s">
        <v>122</v>
      </c>
      <c r="K14" s="117" t="s">
        <v>123</v>
      </c>
      <c r="L14" s="118" t="s">
        <v>35</v>
      </c>
      <c r="M14" s="118" t="s">
        <v>36</v>
      </c>
      <c r="N14" s="117" t="s">
        <v>124</v>
      </c>
      <c r="O14" s="118" t="s">
        <v>125</v>
      </c>
      <c r="P14" s="118" t="s">
        <v>125</v>
      </c>
      <c r="Q14" s="118" t="s">
        <v>39</v>
      </c>
      <c r="R14" s="118" t="s">
        <v>40</v>
      </c>
      <c r="S14" s="118" t="s">
        <v>41</v>
      </c>
      <c r="T14" s="119">
        <v>0.85</v>
      </c>
      <c r="U14" s="120" t="s">
        <v>42</v>
      </c>
      <c r="W14" s="116"/>
      <c r="X14" s="117"/>
      <c r="Y14" s="125"/>
    </row>
  </sheetData>
  <mergeCells count="4">
    <mergeCell ref="J2:L5"/>
    <mergeCell ref="B7:G7"/>
    <mergeCell ref="I7:U7"/>
    <mergeCell ref="W7:Y7"/>
  </mergeCells>
  <printOptions horizontalCentered="1" verticalCentered="1"/>
  <pageMargins left="0.59055118110236227" right="0" top="0.98425196850393704" bottom="0.98425196850393704" header="0.51181102362204722" footer="0.51181102362204722"/>
  <pageSetup paperSize="5" scale="70" orientation="landscape" r:id="rId1"/>
  <headerFooter>
    <oddFooter>&amp;L&amp;8DE-GE-PR-03-FR-05 V03 F04-12-2014</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W14"/>
  <sheetViews>
    <sheetView workbookViewId="0">
      <selection activeCell="J27" sqref="J27"/>
    </sheetView>
  </sheetViews>
  <sheetFormatPr defaultRowHeight="12.75"/>
  <cols>
    <col min="1" max="1" width="14.7109375" customWidth="1"/>
    <col min="2" max="2" width="25.28515625" customWidth="1"/>
    <col min="3" max="3" width="13.28515625" customWidth="1"/>
    <col min="4" max="17" width="11.42578125" customWidth="1"/>
    <col min="18" max="18" width="12.42578125" customWidth="1"/>
    <col min="19" max="256" width="11.42578125" customWidth="1"/>
  </cols>
  <sheetData>
    <row r="2" spans="1:23" ht="42.75" customHeight="1">
      <c r="A2" s="159" t="s">
        <v>1059</v>
      </c>
      <c r="B2" s="157" t="s">
        <v>1060</v>
      </c>
      <c r="C2" s="158" t="s">
        <v>1061</v>
      </c>
      <c r="D2" s="158" t="s">
        <v>1062</v>
      </c>
      <c r="E2" s="163"/>
      <c r="F2" s="163"/>
    </row>
    <row r="3" spans="1:23" ht="36">
      <c r="A3" s="160" t="s">
        <v>1063</v>
      </c>
      <c r="B3" s="156">
        <v>404</v>
      </c>
      <c r="C3" s="156">
        <v>334</v>
      </c>
      <c r="D3" s="156">
        <v>70</v>
      </c>
      <c r="E3" s="156"/>
      <c r="F3" s="156"/>
      <c r="W3">
        <f>5560-404-132-113</f>
        <v>4911</v>
      </c>
    </row>
    <row r="4" spans="1:23" ht="48">
      <c r="A4" s="160" t="s">
        <v>1064</v>
      </c>
      <c r="B4" s="156">
        <v>5560</v>
      </c>
      <c r="C4" s="161">
        <f>334/5560</f>
        <v>6.0071942446043164E-2</v>
      </c>
      <c r="D4" s="161">
        <f>70/5560</f>
        <v>1.2589928057553957E-2</v>
      </c>
      <c r="E4" s="161"/>
      <c r="F4" s="161"/>
    </row>
    <row r="7" spans="1:23" ht="38.25">
      <c r="A7" s="159" t="s">
        <v>1065</v>
      </c>
      <c r="B7" s="157" t="s">
        <v>1060</v>
      </c>
      <c r="C7" s="158" t="s">
        <v>1061</v>
      </c>
      <c r="D7" s="158" t="s">
        <v>1062</v>
      </c>
      <c r="E7" s="162" t="s">
        <v>575</v>
      </c>
      <c r="F7" s="162" t="s">
        <v>569</v>
      </c>
      <c r="Q7" s="164" t="s">
        <v>1066</v>
      </c>
      <c r="R7" s="165" t="s">
        <v>1067</v>
      </c>
      <c r="S7" s="164" t="s">
        <v>1068</v>
      </c>
      <c r="T7" s="164" t="s">
        <v>1069</v>
      </c>
      <c r="U7" s="164" t="s">
        <v>1070</v>
      </c>
    </row>
    <row r="8" spans="1:23" ht="36">
      <c r="A8" s="160" t="s">
        <v>1063</v>
      </c>
      <c r="B8" s="156">
        <v>1819</v>
      </c>
      <c r="C8" s="156">
        <v>1230</v>
      </c>
      <c r="D8" s="156">
        <v>454</v>
      </c>
      <c r="E8" s="156">
        <v>19</v>
      </c>
      <c r="F8" s="156">
        <v>116</v>
      </c>
      <c r="Q8" s="156">
        <v>5</v>
      </c>
      <c r="R8" s="156">
        <v>47</v>
      </c>
      <c r="S8" s="156">
        <v>1</v>
      </c>
      <c r="T8" s="156">
        <v>1720</v>
      </c>
      <c r="U8" s="156">
        <v>46</v>
      </c>
      <c r="W8">
        <f>8556-1742-133-161</f>
        <v>6520</v>
      </c>
    </row>
    <row r="9" spans="1:23" ht="48">
      <c r="A9" s="160" t="s">
        <v>1064</v>
      </c>
      <c r="B9" s="156">
        <v>8556</v>
      </c>
      <c r="C9" s="161">
        <f>C8/B9</f>
        <v>0.14375876577840113</v>
      </c>
      <c r="D9" s="161">
        <f>D8/B9</f>
        <v>5.3062178588125293E-2</v>
      </c>
      <c r="E9" s="197">
        <f>E8/B9</f>
        <v>2.2206638616175784E-3</v>
      </c>
      <c r="F9" s="161">
        <f>F8/B9</f>
        <v>1.3557737260402058E-2</v>
      </c>
    </row>
    <row r="10" spans="1:23">
      <c r="B10" t="s">
        <v>1071</v>
      </c>
    </row>
    <row r="12" spans="1:23" ht="38.25">
      <c r="A12" s="159" t="s">
        <v>1072</v>
      </c>
      <c r="B12" s="157" t="s">
        <v>1060</v>
      </c>
      <c r="C12" s="158" t="s">
        <v>1061</v>
      </c>
      <c r="D12" s="158" t="s">
        <v>1062</v>
      </c>
      <c r="E12" s="162" t="s">
        <v>575</v>
      </c>
      <c r="F12" s="162" t="s">
        <v>569</v>
      </c>
      <c r="Q12" s="164" t="s">
        <v>1066</v>
      </c>
      <c r="R12" s="165" t="s">
        <v>1067</v>
      </c>
      <c r="S12" s="164" t="s">
        <v>1068</v>
      </c>
      <c r="T12" s="164" t="s">
        <v>1069</v>
      </c>
      <c r="U12" s="164" t="s">
        <v>1070</v>
      </c>
    </row>
    <row r="13" spans="1:23" ht="36">
      <c r="A13" s="160" t="s">
        <v>1063</v>
      </c>
      <c r="B13" s="156">
        <v>1909</v>
      </c>
      <c r="C13" s="156">
        <v>1136</v>
      </c>
      <c r="D13" s="156">
        <v>487</v>
      </c>
      <c r="E13" s="156">
        <v>25</v>
      </c>
      <c r="F13" s="156">
        <v>261</v>
      </c>
      <c r="Q13" s="156">
        <v>26</v>
      </c>
      <c r="R13" s="156">
        <v>24</v>
      </c>
      <c r="S13" s="156">
        <v>3</v>
      </c>
      <c r="T13" s="156">
        <v>1747</v>
      </c>
      <c r="U13" s="156">
        <v>109</v>
      </c>
    </row>
    <row r="14" spans="1:23" ht="48">
      <c r="A14" s="160" t="s">
        <v>1064</v>
      </c>
      <c r="B14" s="156">
        <v>11096</v>
      </c>
      <c r="C14" s="161">
        <f>C13/B14</f>
        <v>0.10237923576063446</v>
      </c>
      <c r="D14" s="161">
        <f>D13/B14</f>
        <v>4.3889689978370582E-2</v>
      </c>
      <c r="E14" s="197">
        <f>E13/B14</f>
        <v>2.2530641672674837E-3</v>
      </c>
      <c r="F14" s="161">
        <f>F13/B14</f>
        <v>2.3521989906272529E-2</v>
      </c>
      <c r="W14">
        <f>11096-1852-64-145</f>
        <v>9035</v>
      </c>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V70"/>
  <sheetViews>
    <sheetView topLeftCell="A40" workbookViewId="0">
      <selection activeCell="A52" sqref="A52:I59"/>
    </sheetView>
  </sheetViews>
  <sheetFormatPr defaultColWidth="11.42578125" defaultRowHeight="17.25" customHeight="1"/>
  <cols>
    <col min="1" max="1" width="21.85546875" style="206" customWidth="1"/>
    <col min="2" max="2" width="6.85546875" style="206" customWidth="1"/>
    <col min="3" max="3" width="2.85546875" style="206" bestFit="1" customWidth="1"/>
    <col min="4" max="12" width="20.7109375" style="206" customWidth="1"/>
    <col min="13" max="15" width="11.42578125" style="206"/>
    <col min="16" max="16" width="11.28515625" style="206" customWidth="1"/>
    <col min="17" max="32" width="11.42578125" style="205"/>
    <col min="33" max="47" width="1.7109375" style="205" customWidth="1"/>
    <col min="48" max="48" width="11.42578125" style="205"/>
    <col min="49" max="16384" width="11.42578125" style="206"/>
  </cols>
  <sheetData>
    <row r="1" spans="1:48" ht="17.25" customHeight="1">
      <c r="A1" s="464"/>
      <c r="B1" s="465"/>
      <c r="C1" s="457" t="s">
        <v>1073</v>
      </c>
      <c r="D1" s="463"/>
      <c r="E1" s="463"/>
      <c r="F1" s="463"/>
      <c r="G1" s="463"/>
      <c r="H1" s="463"/>
      <c r="I1" s="463"/>
      <c r="J1" s="463"/>
      <c r="K1" s="463"/>
      <c r="L1" s="463"/>
      <c r="M1" s="463"/>
      <c r="N1" s="463"/>
      <c r="O1" s="463"/>
      <c r="P1" s="458"/>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row>
    <row r="2" spans="1:48" ht="17.25" customHeight="1">
      <c r="A2" s="466"/>
      <c r="B2" s="467"/>
      <c r="C2" s="457" t="s">
        <v>1074</v>
      </c>
      <c r="D2" s="463"/>
      <c r="E2" s="463"/>
      <c r="F2" s="463"/>
      <c r="G2" s="463"/>
      <c r="H2" s="463"/>
      <c r="I2" s="463"/>
      <c r="J2" s="463"/>
      <c r="K2" s="463"/>
      <c r="L2" s="463"/>
      <c r="M2" s="463"/>
      <c r="N2" s="463"/>
      <c r="O2" s="463"/>
      <c r="P2" s="458"/>
      <c r="Q2" s="470"/>
      <c r="R2" s="470"/>
      <c r="S2" s="470"/>
      <c r="T2" s="470"/>
      <c r="U2" s="470"/>
      <c r="V2" s="470"/>
      <c r="W2" s="470"/>
      <c r="X2" s="470"/>
      <c r="Y2" s="470"/>
      <c r="Z2" s="470"/>
      <c r="AA2" s="470"/>
      <c r="AB2" s="470"/>
      <c r="AC2" s="470"/>
      <c r="AD2" s="470"/>
      <c r="AE2" s="470"/>
      <c r="AF2" s="470"/>
      <c r="AG2" s="470"/>
      <c r="AH2" s="470"/>
      <c r="AI2" s="470"/>
      <c r="AJ2" s="470"/>
      <c r="AK2" s="470"/>
      <c r="AL2" s="470"/>
      <c r="AM2" s="470"/>
      <c r="AN2" s="470"/>
      <c r="AO2" s="470"/>
      <c r="AP2" s="470"/>
      <c r="AQ2" s="470"/>
      <c r="AR2" s="470"/>
      <c r="AS2" s="470"/>
      <c r="AT2" s="470"/>
      <c r="AU2" s="470"/>
    </row>
    <row r="3" spans="1:48" ht="17.25" customHeight="1">
      <c r="A3" s="466"/>
      <c r="B3" s="467"/>
      <c r="C3" s="457" t="s">
        <v>1075</v>
      </c>
      <c r="D3" s="463"/>
      <c r="E3" s="463"/>
      <c r="F3" s="463"/>
      <c r="G3" s="463"/>
      <c r="H3" s="463"/>
      <c r="I3" s="463"/>
      <c r="J3" s="463"/>
      <c r="K3" s="463"/>
      <c r="L3" s="463"/>
      <c r="M3" s="463"/>
      <c r="N3" s="463"/>
      <c r="O3" s="463"/>
      <c r="P3" s="458"/>
      <c r="Q3" s="470"/>
      <c r="R3" s="470"/>
      <c r="S3" s="470"/>
      <c r="T3" s="470"/>
      <c r="U3" s="470"/>
      <c r="V3" s="470"/>
      <c r="W3" s="470"/>
      <c r="X3" s="470"/>
      <c r="Y3" s="470"/>
      <c r="Z3" s="470"/>
      <c r="AA3" s="470"/>
      <c r="AB3" s="470"/>
      <c r="AC3" s="470"/>
      <c r="AD3" s="470"/>
      <c r="AE3" s="470"/>
      <c r="AF3" s="470"/>
      <c r="AG3" s="470"/>
      <c r="AH3" s="470"/>
      <c r="AI3" s="470"/>
      <c r="AJ3" s="470"/>
      <c r="AK3" s="470"/>
      <c r="AL3" s="470"/>
      <c r="AM3" s="470"/>
      <c r="AN3" s="470"/>
      <c r="AO3" s="470"/>
      <c r="AP3" s="470"/>
      <c r="AQ3" s="470"/>
      <c r="AR3" s="470"/>
      <c r="AS3" s="470"/>
      <c r="AT3" s="470"/>
      <c r="AU3" s="470"/>
    </row>
    <row r="4" spans="1:48" ht="12.75" customHeight="1">
      <c r="A4" s="468"/>
      <c r="B4" s="469"/>
      <c r="C4" s="445" t="s">
        <v>1076</v>
      </c>
      <c r="D4" s="446"/>
      <c r="E4" s="446"/>
      <c r="F4" s="447"/>
      <c r="G4" s="445" t="s">
        <v>1077</v>
      </c>
      <c r="H4" s="446"/>
      <c r="I4" s="446"/>
      <c r="J4" s="446"/>
      <c r="K4" s="446"/>
      <c r="L4" s="447"/>
      <c r="M4" s="457" t="s">
        <v>1078</v>
      </c>
      <c r="N4" s="463"/>
      <c r="O4" s="463"/>
      <c r="P4" s="458"/>
    </row>
    <row r="5" spans="1:48" ht="27" customHeight="1">
      <c r="A5" s="207"/>
      <c r="B5" s="208"/>
      <c r="C5" s="208"/>
      <c r="D5" s="208"/>
      <c r="E5" s="208"/>
      <c r="F5" s="208"/>
      <c r="G5" s="208"/>
      <c r="H5" s="208"/>
      <c r="I5" s="208"/>
      <c r="J5" s="208"/>
      <c r="K5" s="208"/>
      <c r="L5" s="208"/>
      <c r="M5" s="208"/>
      <c r="N5" s="208"/>
      <c r="O5" s="208"/>
      <c r="P5" s="209"/>
    </row>
    <row r="6" spans="1:48" ht="14.25" customHeight="1">
      <c r="A6" s="452" t="s">
        <v>1079</v>
      </c>
      <c r="B6" s="453"/>
      <c r="C6" s="453"/>
      <c r="D6" s="453"/>
      <c r="E6" s="453"/>
      <c r="F6" s="453"/>
      <c r="G6" s="453"/>
      <c r="H6" s="453"/>
      <c r="I6" s="453"/>
      <c r="J6" s="453"/>
      <c r="K6" s="453"/>
      <c r="L6" s="453"/>
      <c r="M6" s="453"/>
      <c r="N6" s="453"/>
      <c r="O6" s="453"/>
      <c r="P6" s="454"/>
      <c r="Q6" s="210"/>
      <c r="R6" s="210"/>
      <c r="S6" s="210"/>
      <c r="T6" s="210"/>
      <c r="U6" s="210"/>
      <c r="V6" s="210"/>
      <c r="W6" s="210"/>
      <c r="X6" s="210"/>
      <c r="Y6" s="210"/>
      <c r="Z6" s="210"/>
      <c r="AA6" s="210"/>
      <c r="AB6" s="210"/>
      <c r="AC6" s="210"/>
      <c r="AD6" s="210"/>
      <c r="AE6" s="210"/>
      <c r="AF6" s="210"/>
      <c r="AG6" s="210"/>
      <c r="AH6" s="210"/>
      <c r="AI6" s="210"/>
      <c r="AJ6" s="210"/>
      <c r="AK6" s="210"/>
      <c r="AL6" s="210"/>
      <c r="AM6" s="210"/>
      <c r="AN6" s="210"/>
      <c r="AO6" s="210"/>
      <c r="AP6" s="210"/>
      <c r="AQ6" s="210"/>
      <c r="AR6" s="210"/>
      <c r="AS6" s="210"/>
      <c r="AT6" s="210"/>
      <c r="AU6" s="210"/>
    </row>
    <row r="7" spans="1:48" ht="41.25" customHeight="1">
      <c r="A7" s="442" t="s">
        <v>1080</v>
      </c>
      <c r="B7" s="443"/>
      <c r="C7" s="444"/>
      <c r="D7" s="455" t="s">
        <v>1081</v>
      </c>
      <c r="E7" s="456"/>
      <c r="F7" s="211" t="s">
        <v>1082</v>
      </c>
      <c r="G7" s="455" t="s">
        <v>1083</v>
      </c>
      <c r="H7" s="456"/>
      <c r="I7" s="212" t="s">
        <v>1084</v>
      </c>
      <c r="J7" s="213" t="s">
        <v>1085</v>
      </c>
      <c r="K7" s="213" t="s">
        <v>1086</v>
      </c>
      <c r="L7" s="203" t="s">
        <v>1087</v>
      </c>
      <c r="M7" s="442" t="s">
        <v>1088</v>
      </c>
      <c r="N7" s="444"/>
      <c r="O7" s="457">
        <v>1</v>
      </c>
      <c r="P7" s="458"/>
      <c r="Q7" s="214"/>
      <c r="R7" s="214"/>
      <c r="U7" s="215"/>
      <c r="V7" s="215"/>
      <c r="W7" s="215"/>
      <c r="X7" s="215"/>
      <c r="Y7" s="215"/>
      <c r="Z7" s="215"/>
      <c r="AA7" s="215"/>
      <c r="AB7" s="215"/>
      <c r="AC7" s="215"/>
      <c r="AD7" s="215"/>
      <c r="AE7" s="215"/>
      <c r="AF7" s="215"/>
      <c r="AG7" s="215"/>
      <c r="AH7" s="215"/>
    </row>
    <row r="8" spans="1:48" ht="33" customHeight="1">
      <c r="A8" s="442" t="s">
        <v>1089</v>
      </c>
      <c r="B8" s="443"/>
      <c r="C8" s="443"/>
      <c r="D8" s="459"/>
      <c r="E8" s="456"/>
      <c r="F8" s="216" t="s">
        <v>1090</v>
      </c>
      <c r="G8" s="460"/>
      <c r="H8" s="461"/>
      <c r="I8" s="461"/>
      <c r="J8" s="461"/>
      <c r="K8" s="461"/>
      <c r="L8" s="461"/>
      <c r="M8" s="461"/>
      <c r="N8" s="461"/>
      <c r="O8" s="461"/>
      <c r="P8" s="462"/>
      <c r="Q8" s="206"/>
      <c r="R8" s="206"/>
      <c r="S8" s="206"/>
    </row>
    <row r="9" spans="1:48" ht="42.75" customHeight="1">
      <c r="A9" s="448" t="s">
        <v>1091</v>
      </c>
      <c r="B9" s="448"/>
      <c r="C9" s="448"/>
      <c r="D9" s="217" t="s">
        <v>1092</v>
      </c>
      <c r="E9" s="217" t="s">
        <v>1093</v>
      </c>
      <c r="F9" s="367" t="s">
        <v>1094</v>
      </c>
      <c r="G9" s="369"/>
      <c r="H9" s="218" t="s">
        <v>1095</v>
      </c>
      <c r="I9" s="218" t="s">
        <v>1096</v>
      </c>
      <c r="J9" s="425" t="s">
        <v>1097</v>
      </c>
      <c r="K9" s="425"/>
      <c r="L9" s="425" t="s">
        <v>1098</v>
      </c>
      <c r="M9" s="425"/>
      <c r="N9" s="425"/>
      <c r="O9" s="425"/>
      <c r="P9" s="425"/>
      <c r="AU9" s="206"/>
      <c r="AV9" s="206"/>
    </row>
    <row r="10" spans="1:48" ht="32.25" customHeight="1">
      <c r="A10" s="448"/>
      <c r="B10" s="448"/>
      <c r="C10" s="448"/>
      <c r="D10" s="217" t="s">
        <v>1099</v>
      </c>
      <c r="E10" s="367" t="s">
        <v>1100</v>
      </c>
      <c r="F10" s="368"/>
      <c r="G10" s="369"/>
      <c r="H10" s="367" t="s">
        <v>1101</v>
      </c>
      <c r="I10" s="369"/>
      <c r="J10" s="400" t="s">
        <v>1102</v>
      </c>
      <c r="K10" s="401"/>
      <c r="L10" s="401"/>
      <c r="M10" s="401"/>
      <c r="N10" s="401"/>
      <c r="O10" s="401"/>
      <c r="P10" s="402"/>
      <c r="AU10" s="206"/>
      <c r="AV10" s="206"/>
    </row>
    <row r="11" spans="1:48" ht="12.75" customHeight="1">
      <c r="A11" s="442" t="s">
        <v>1103</v>
      </c>
      <c r="B11" s="443"/>
      <c r="C11" s="443"/>
      <c r="D11" s="443"/>
      <c r="E11" s="443"/>
      <c r="F11" s="443"/>
      <c r="G11" s="443"/>
      <c r="H11" s="443"/>
      <c r="I11" s="443"/>
      <c r="J11" s="443"/>
      <c r="K11" s="443"/>
      <c r="L11" s="443"/>
      <c r="M11" s="443"/>
      <c r="N11" s="443"/>
      <c r="O11" s="443"/>
      <c r="P11" s="444"/>
    </row>
    <row r="12" spans="1:48" ht="43.5" customHeight="1">
      <c r="A12" s="449"/>
      <c r="B12" s="450"/>
      <c r="C12" s="450"/>
      <c r="D12" s="450"/>
      <c r="E12" s="450"/>
      <c r="F12" s="450"/>
      <c r="G12" s="450"/>
      <c r="H12" s="450"/>
      <c r="I12" s="450"/>
      <c r="J12" s="450"/>
      <c r="K12" s="450"/>
      <c r="L12" s="450"/>
      <c r="M12" s="450"/>
      <c r="N12" s="450"/>
      <c r="O12" s="450"/>
      <c r="P12" s="451"/>
    </row>
    <row r="13" spans="1:48" ht="13.5" customHeight="1">
      <c r="A13" s="442" t="s">
        <v>1104</v>
      </c>
      <c r="B13" s="443"/>
      <c r="C13" s="443"/>
      <c r="D13" s="443"/>
      <c r="E13" s="443"/>
      <c r="F13" s="443"/>
      <c r="G13" s="443"/>
      <c r="H13" s="443"/>
      <c r="I13" s="443"/>
      <c r="J13" s="443"/>
      <c r="K13" s="443"/>
      <c r="L13" s="443"/>
      <c r="M13" s="443"/>
      <c r="N13" s="443"/>
      <c r="O13" s="443"/>
      <c r="P13" s="444"/>
    </row>
    <row r="14" spans="1:48" ht="42" customHeight="1">
      <c r="A14" s="367"/>
      <c r="B14" s="368"/>
      <c r="C14" s="368"/>
      <c r="D14" s="368"/>
      <c r="E14" s="368"/>
      <c r="F14" s="368"/>
      <c r="G14" s="368"/>
      <c r="H14" s="368"/>
      <c r="I14" s="368"/>
      <c r="J14" s="368"/>
      <c r="K14" s="368"/>
      <c r="L14" s="368"/>
      <c r="M14" s="368"/>
      <c r="N14" s="368"/>
      <c r="O14" s="368"/>
      <c r="P14" s="369"/>
    </row>
    <row r="15" spans="1:48" ht="13.5" customHeight="1">
      <c r="A15" s="442" t="s">
        <v>1105</v>
      </c>
      <c r="B15" s="443"/>
      <c r="C15" s="443"/>
      <c r="D15" s="443"/>
      <c r="E15" s="443"/>
      <c r="F15" s="443"/>
      <c r="G15" s="443"/>
      <c r="H15" s="443"/>
      <c r="I15" s="443"/>
      <c r="J15" s="443"/>
      <c r="K15" s="443"/>
      <c r="L15" s="443"/>
      <c r="M15" s="443"/>
      <c r="N15" s="443"/>
      <c r="O15" s="443"/>
      <c r="P15" s="444"/>
    </row>
    <row r="16" spans="1:48" ht="13.5" customHeight="1">
      <c r="A16" s="442" t="s">
        <v>1106</v>
      </c>
      <c r="B16" s="443"/>
      <c r="C16" s="443"/>
      <c r="D16" s="443"/>
      <c r="E16" s="443"/>
      <c r="F16" s="443"/>
      <c r="G16" s="443"/>
      <c r="H16" s="443"/>
      <c r="I16" s="443"/>
      <c r="J16" s="443"/>
      <c r="K16" s="443"/>
      <c r="L16" s="443"/>
      <c r="M16" s="443"/>
      <c r="N16" s="443"/>
      <c r="O16" s="443"/>
      <c r="P16" s="444"/>
    </row>
    <row r="17" spans="1:16" ht="13.5" customHeight="1">
      <c r="A17" s="403"/>
      <c r="B17" s="404"/>
      <c r="C17" s="404"/>
      <c r="D17" s="404"/>
      <c r="E17" s="404"/>
      <c r="F17" s="404"/>
      <c r="G17" s="404"/>
      <c r="H17" s="404"/>
      <c r="I17" s="404"/>
      <c r="J17" s="404"/>
      <c r="K17" s="404"/>
      <c r="L17" s="404"/>
      <c r="M17" s="404"/>
      <c r="N17" s="404"/>
      <c r="O17" s="404"/>
      <c r="P17" s="405"/>
    </row>
    <row r="18" spans="1:16" ht="13.5" customHeight="1">
      <c r="A18" s="406"/>
      <c r="B18" s="407"/>
      <c r="C18" s="407"/>
      <c r="D18" s="407"/>
      <c r="E18" s="407"/>
      <c r="F18" s="407"/>
      <c r="G18" s="407"/>
      <c r="H18" s="407"/>
      <c r="I18" s="407"/>
      <c r="J18" s="407"/>
      <c r="K18" s="407"/>
      <c r="L18" s="407"/>
      <c r="M18" s="407"/>
      <c r="N18" s="407"/>
      <c r="O18" s="407"/>
      <c r="P18" s="408"/>
    </row>
    <row r="19" spans="1:16" ht="13.5" customHeight="1">
      <c r="A19" s="406"/>
      <c r="B19" s="407"/>
      <c r="C19" s="407"/>
      <c r="D19" s="407"/>
      <c r="E19" s="407"/>
      <c r="F19" s="407"/>
      <c r="G19" s="407"/>
      <c r="H19" s="407"/>
      <c r="I19" s="407"/>
      <c r="J19" s="407"/>
      <c r="K19" s="407"/>
      <c r="L19" s="407"/>
      <c r="M19" s="407"/>
      <c r="N19" s="407"/>
      <c r="O19" s="407"/>
      <c r="P19" s="408"/>
    </row>
    <row r="20" spans="1:16" ht="13.5" customHeight="1">
      <c r="A20" s="406"/>
      <c r="B20" s="407"/>
      <c r="C20" s="407"/>
      <c r="D20" s="407"/>
      <c r="E20" s="407"/>
      <c r="F20" s="407"/>
      <c r="G20" s="407"/>
      <c r="H20" s="407"/>
      <c r="I20" s="407"/>
      <c r="J20" s="407"/>
      <c r="K20" s="407"/>
      <c r="L20" s="407"/>
      <c r="M20" s="407"/>
      <c r="N20" s="407"/>
      <c r="O20" s="407"/>
      <c r="P20" s="408"/>
    </row>
    <row r="21" spans="1:16" ht="13.5" customHeight="1">
      <c r="A21" s="406"/>
      <c r="B21" s="407"/>
      <c r="C21" s="407"/>
      <c r="D21" s="407"/>
      <c r="E21" s="407"/>
      <c r="F21" s="407"/>
      <c r="G21" s="407"/>
      <c r="H21" s="407"/>
      <c r="I21" s="407"/>
      <c r="J21" s="407"/>
      <c r="K21" s="407"/>
      <c r="L21" s="407"/>
      <c r="M21" s="407"/>
      <c r="N21" s="407"/>
      <c r="O21" s="407"/>
      <c r="P21" s="408"/>
    </row>
    <row r="22" spans="1:16" ht="13.5" customHeight="1">
      <c r="A22" s="406"/>
      <c r="B22" s="407"/>
      <c r="C22" s="407"/>
      <c r="D22" s="407"/>
      <c r="E22" s="407"/>
      <c r="F22" s="407"/>
      <c r="G22" s="407"/>
      <c r="H22" s="407"/>
      <c r="I22" s="407"/>
      <c r="J22" s="407"/>
      <c r="K22" s="407"/>
      <c r="L22" s="407"/>
      <c r="M22" s="407"/>
      <c r="N22" s="407"/>
      <c r="O22" s="407"/>
      <c r="P22" s="408"/>
    </row>
    <row r="23" spans="1:16" ht="13.5" customHeight="1">
      <c r="A23" s="406"/>
      <c r="B23" s="407"/>
      <c r="C23" s="407"/>
      <c r="D23" s="407"/>
      <c r="E23" s="407"/>
      <c r="F23" s="407"/>
      <c r="G23" s="407"/>
      <c r="H23" s="407"/>
      <c r="I23" s="407"/>
      <c r="J23" s="407"/>
      <c r="K23" s="407"/>
      <c r="L23" s="407"/>
      <c r="M23" s="407"/>
      <c r="N23" s="407"/>
      <c r="O23" s="407"/>
      <c r="P23" s="408"/>
    </row>
    <row r="24" spans="1:16" ht="13.5" customHeight="1">
      <c r="A24" s="406"/>
      <c r="B24" s="407"/>
      <c r="C24" s="407"/>
      <c r="D24" s="407"/>
      <c r="E24" s="407"/>
      <c r="F24" s="407"/>
      <c r="G24" s="407"/>
      <c r="H24" s="407"/>
      <c r="I24" s="407"/>
      <c r="J24" s="407"/>
      <c r="K24" s="407"/>
      <c r="L24" s="407"/>
      <c r="M24" s="407"/>
      <c r="N24" s="407"/>
      <c r="O24" s="407"/>
      <c r="P24" s="408"/>
    </row>
    <row r="25" spans="1:16" ht="13.5" customHeight="1">
      <c r="A25" s="445"/>
      <c r="B25" s="446"/>
      <c r="C25" s="446"/>
      <c r="D25" s="446"/>
      <c r="E25" s="446"/>
      <c r="F25" s="446"/>
      <c r="G25" s="446"/>
      <c r="H25" s="446"/>
      <c r="I25" s="446"/>
      <c r="J25" s="446"/>
      <c r="K25" s="446"/>
      <c r="L25" s="446"/>
      <c r="M25" s="446"/>
      <c r="N25" s="446"/>
      <c r="O25" s="446"/>
      <c r="P25" s="447"/>
    </row>
    <row r="26" spans="1:16" ht="13.5" customHeight="1">
      <c r="A26" s="427" t="s">
        <v>1107</v>
      </c>
      <c r="B26" s="427"/>
      <c r="C26" s="427"/>
      <c r="D26" s="427"/>
      <c r="E26" s="427"/>
      <c r="F26" s="427"/>
      <c r="G26" s="427"/>
      <c r="H26" s="427"/>
      <c r="I26" s="427"/>
      <c r="J26" s="427"/>
      <c r="K26" s="427"/>
      <c r="L26" s="427"/>
      <c r="M26" s="427"/>
      <c r="N26" s="427"/>
      <c r="O26" s="427"/>
      <c r="P26" s="427"/>
    </row>
    <row r="27" spans="1:16" ht="13.5" customHeight="1">
      <c r="A27" s="219"/>
      <c r="B27" s="220"/>
      <c r="C27" s="220"/>
      <c r="D27" s="220"/>
      <c r="E27" s="220"/>
      <c r="F27" s="220"/>
      <c r="G27" s="220"/>
      <c r="H27" s="220"/>
      <c r="I27" s="220"/>
      <c r="J27" s="220"/>
      <c r="K27" s="220"/>
      <c r="L27" s="220"/>
      <c r="P27" s="221"/>
    </row>
    <row r="28" spans="1:16" ht="13.5" customHeight="1">
      <c r="A28" s="424" t="s">
        <v>1108</v>
      </c>
      <c r="B28" s="424"/>
      <c r="C28" s="424"/>
      <c r="D28" s="424"/>
      <c r="E28" s="424"/>
      <c r="F28" s="424"/>
      <c r="G28" s="424"/>
      <c r="I28" s="424" t="s">
        <v>1109</v>
      </c>
      <c r="J28" s="424"/>
      <c r="K28" s="424"/>
      <c r="L28" s="424"/>
      <c r="M28" s="424"/>
      <c r="N28" s="424"/>
      <c r="O28" s="424"/>
      <c r="P28" s="222"/>
    </row>
    <row r="29" spans="1:16" ht="17.25" customHeight="1">
      <c r="A29" s="424"/>
      <c r="B29" s="424"/>
      <c r="C29" s="424"/>
      <c r="D29" s="424"/>
      <c r="E29" s="424"/>
      <c r="F29" s="424"/>
      <c r="G29" s="424"/>
      <c r="I29" s="425"/>
      <c r="J29" s="425"/>
      <c r="K29" s="425"/>
      <c r="L29" s="425"/>
      <c r="M29" s="425"/>
      <c r="N29" s="425"/>
      <c r="O29" s="425"/>
      <c r="P29" s="222"/>
    </row>
    <row r="30" spans="1:16" ht="17.25" customHeight="1">
      <c r="A30" s="424"/>
      <c r="B30" s="424"/>
      <c r="C30" s="424"/>
      <c r="D30" s="424"/>
      <c r="E30" s="424"/>
      <c r="F30" s="424"/>
      <c r="G30" s="424"/>
      <c r="I30" s="425"/>
      <c r="J30" s="425"/>
      <c r="K30" s="425"/>
      <c r="L30" s="425"/>
      <c r="M30" s="425"/>
      <c r="N30" s="425"/>
      <c r="O30" s="425"/>
      <c r="P30" s="222"/>
    </row>
    <row r="31" spans="1:16" ht="24" customHeight="1">
      <c r="A31" s="428"/>
      <c r="B31" s="429"/>
      <c r="C31" s="429"/>
      <c r="D31" s="429"/>
      <c r="E31" s="429"/>
      <c r="F31" s="429"/>
      <c r="G31" s="430"/>
      <c r="I31" s="367"/>
      <c r="J31" s="368"/>
      <c r="K31" s="368"/>
      <c r="L31" s="368"/>
      <c r="M31" s="368"/>
      <c r="N31" s="368"/>
      <c r="O31" s="369"/>
      <c r="P31" s="222"/>
    </row>
    <row r="32" spans="1:16" ht="19.5" customHeight="1">
      <c r="A32" s="424"/>
      <c r="B32" s="424"/>
      <c r="C32" s="424"/>
      <c r="D32" s="424"/>
      <c r="E32" s="424"/>
      <c r="F32" s="424"/>
      <c r="G32" s="424"/>
      <c r="I32" s="425"/>
      <c r="J32" s="425"/>
      <c r="K32" s="425"/>
      <c r="L32" s="425"/>
      <c r="M32" s="425"/>
      <c r="N32" s="425"/>
      <c r="O32" s="425"/>
      <c r="P32" s="222"/>
    </row>
    <row r="33" spans="1:16" ht="20.25" customHeight="1">
      <c r="A33" s="219"/>
      <c r="D33" s="220"/>
      <c r="E33" s="431"/>
      <c r="F33" s="220"/>
      <c r="G33" s="220"/>
      <c r="H33" s="220"/>
      <c r="I33" s="431"/>
      <c r="J33" s="223"/>
      <c r="K33" s="223"/>
      <c r="L33" s="220"/>
      <c r="P33" s="222"/>
    </row>
    <row r="34" spans="1:16" ht="13.5" customHeight="1" thickBot="1">
      <c r="A34" s="219"/>
      <c r="D34" s="220"/>
      <c r="E34" s="432"/>
      <c r="F34" s="224"/>
      <c r="G34" s="224"/>
      <c r="H34" s="224"/>
      <c r="I34" s="433"/>
      <c r="J34" s="223"/>
      <c r="K34" s="223"/>
      <c r="L34" s="434" t="s">
        <v>1110</v>
      </c>
      <c r="M34" s="435"/>
      <c r="N34" s="435"/>
      <c r="O34" s="436"/>
      <c r="P34" s="222"/>
    </row>
    <row r="35" spans="1:16" ht="35.25" customHeight="1" thickTop="1">
      <c r="A35" s="219"/>
      <c r="B35" s="220"/>
      <c r="E35" s="440"/>
      <c r="F35" s="220"/>
      <c r="I35" s="441"/>
      <c r="J35" s="223"/>
      <c r="K35" s="223"/>
      <c r="L35" s="437"/>
      <c r="M35" s="438"/>
      <c r="N35" s="438"/>
      <c r="O35" s="439"/>
      <c r="P35" s="222"/>
    </row>
    <row r="36" spans="1:16" ht="9.75" customHeight="1">
      <c r="A36" s="219"/>
      <c r="B36" s="220"/>
      <c r="D36" s="220"/>
      <c r="E36" s="440"/>
      <c r="F36" s="220"/>
      <c r="H36" s="220"/>
      <c r="I36" s="440"/>
      <c r="J36" s="223"/>
      <c r="K36" s="223"/>
      <c r="L36" s="220"/>
      <c r="P36" s="222"/>
    </row>
    <row r="37" spans="1:16" ht="24.75" customHeight="1">
      <c r="A37" s="424" t="s">
        <v>1111</v>
      </c>
      <c r="B37" s="424"/>
      <c r="C37" s="424"/>
      <c r="D37" s="424"/>
      <c r="E37" s="424"/>
      <c r="F37" s="424"/>
      <c r="G37" s="424"/>
      <c r="I37" s="424" t="s">
        <v>1112</v>
      </c>
      <c r="J37" s="424"/>
      <c r="K37" s="424"/>
      <c r="L37" s="424"/>
      <c r="M37" s="424"/>
      <c r="N37" s="424"/>
      <c r="O37" s="424"/>
      <c r="P37" s="222"/>
    </row>
    <row r="38" spans="1:16" ht="17.25" customHeight="1">
      <c r="A38" s="425"/>
      <c r="B38" s="425"/>
      <c r="C38" s="425"/>
      <c r="D38" s="425"/>
      <c r="E38" s="425"/>
      <c r="F38" s="425"/>
      <c r="G38" s="425"/>
      <c r="I38" s="425"/>
      <c r="J38" s="425"/>
      <c r="K38" s="425"/>
      <c r="L38" s="425"/>
      <c r="M38" s="425"/>
      <c r="N38" s="425"/>
      <c r="O38" s="425"/>
      <c r="P38" s="222"/>
    </row>
    <row r="39" spans="1:16" ht="17.25" customHeight="1">
      <c r="A39" s="425"/>
      <c r="B39" s="425"/>
      <c r="C39" s="425"/>
      <c r="D39" s="425"/>
      <c r="E39" s="425"/>
      <c r="F39" s="425"/>
      <c r="G39" s="425"/>
      <c r="I39" s="425"/>
      <c r="J39" s="425"/>
      <c r="K39" s="425"/>
      <c r="L39" s="425"/>
      <c r="M39" s="425"/>
      <c r="N39" s="425"/>
      <c r="O39" s="425"/>
      <c r="P39" s="222"/>
    </row>
    <row r="40" spans="1:16" ht="17.25" customHeight="1">
      <c r="A40" s="426"/>
      <c r="B40" s="426"/>
      <c r="C40" s="426"/>
      <c r="D40" s="426"/>
      <c r="E40" s="426"/>
      <c r="F40" s="426"/>
      <c r="G40" s="426"/>
      <c r="I40" s="425"/>
      <c r="J40" s="425"/>
      <c r="K40" s="425"/>
      <c r="L40" s="425"/>
      <c r="M40" s="425"/>
      <c r="N40" s="425"/>
      <c r="O40" s="425"/>
      <c r="P40" s="222"/>
    </row>
    <row r="41" spans="1:16" ht="13.5" customHeight="1">
      <c r="P41" s="222"/>
    </row>
    <row r="42" spans="1:16" ht="17.25" customHeight="1">
      <c r="A42" s="427" t="s">
        <v>1113</v>
      </c>
      <c r="B42" s="427"/>
      <c r="C42" s="427"/>
      <c r="D42" s="427"/>
      <c r="E42" s="427"/>
      <c r="F42" s="427"/>
      <c r="G42" s="427"/>
      <c r="H42" s="427"/>
      <c r="I42" s="427"/>
      <c r="J42" s="427"/>
      <c r="K42" s="427"/>
      <c r="L42" s="427"/>
      <c r="M42" s="427"/>
      <c r="N42" s="427"/>
      <c r="O42" s="427"/>
      <c r="P42" s="427"/>
    </row>
    <row r="43" spans="1:16" ht="5.25" customHeight="1">
      <c r="A43" s="403"/>
      <c r="B43" s="404"/>
      <c r="C43" s="404"/>
      <c r="D43" s="404"/>
      <c r="E43" s="404"/>
      <c r="F43" s="404"/>
      <c r="G43" s="404"/>
      <c r="H43" s="404"/>
      <c r="I43" s="404"/>
      <c r="J43" s="404"/>
      <c r="K43" s="404"/>
      <c r="L43" s="404"/>
      <c r="M43" s="404"/>
      <c r="N43" s="404"/>
      <c r="O43" s="404"/>
      <c r="P43" s="405"/>
    </row>
    <row r="44" spans="1:16" ht="18" customHeight="1">
      <c r="A44" s="406"/>
      <c r="B44" s="407"/>
      <c r="C44" s="407"/>
      <c r="D44" s="407"/>
      <c r="E44" s="407"/>
      <c r="F44" s="407"/>
      <c r="G44" s="407"/>
      <c r="H44" s="407"/>
      <c r="I44" s="407"/>
      <c r="J44" s="407"/>
      <c r="K44" s="407"/>
      <c r="L44" s="407"/>
      <c r="M44" s="407"/>
      <c r="N44" s="407"/>
      <c r="O44" s="407"/>
      <c r="P44" s="408"/>
    </row>
    <row r="45" spans="1:16" ht="12" customHeight="1">
      <c r="A45" s="406"/>
      <c r="B45" s="407"/>
      <c r="C45" s="407"/>
      <c r="D45" s="407"/>
      <c r="E45" s="407"/>
      <c r="F45" s="407"/>
      <c r="G45" s="407"/>
      <c r="H45" s="407"/>
      <c r="I45" s="407"/>
      <c r="J45" s="407"/>
      <c r="K45" s="407"/>
      <c r="L45" s="407"/>
      <c r="M45" s="407"/>
      <c r="N45" s="407"/>
      <c r="O45" s="407"/>
      <c r="P45" s="408"/>
    </row>
    <row r="46" spans="1:16" ht="24.75" customHeight="1">
      <c r="A46" s="406"/>
      <c r="B46" s="407"/>
      <c r="C46" s="407"/>
      <c r="D46" s="407"/>
      <c r="E46" s="407"/>
      <c r="F46" s="407"/>
      <c r="G46" s="407"/>
      <c r="H46" s="407"/>
      <c r="I46" s="407"/>
      <c r="J46" s="407"/>
      <c r="K46" s="407"/>
      <c r="L46" s="407"/>
      <c r="M46" s="407"/>
      <c r="N46" s="407"/>
      <c r="O46" s="407"/>
      <c r="P46" s="408"/>
    </row>
    <row r="47" spans="1:16" ht="59.25" customHeight="1">
      <c r="A47" s="406"/>
      <c r="B47" s="407"/>
      <c r="C47" s="407"/>
      <c r="D47" s="407"/>
      <c r="E47" s="407"/>
      <c r="F47" s="407"/>
      <c r="G47" s="407"/>
      <c r="H47" s="407"/>
      <c r="I47" s="407"/>
      <c r="J47" s="407"/>
      <c r="K47" s="407"/>
      <c r="L47" s="407"/>
      <c r="M47" s="407"/>
      <c r="N47" s="407"/>
      <c r="O47" s="407"/>
      <c r="P47" s="408"/>
    </row>
    <row r="48" spans="1:16" ht="22.5" customHeight="1">
      <c r="A48" s="226"/>
      <c r="P48" s="222"/>
    </row>
    <row r="49" spans="1:16" ht="14.25" customHeight="1">
      <c r="A49" s="409" t="s">
        <v>1114</v>
      </c>
      <c r="B49" s="410"/>
      <c r="C49" s="410"/>
      <c r="D49" s="410"/>
      <c r="E49" s="410"/>
      <c r="F49" s="410"/>
      <c r="G49" s="410"/>
      <c r="H49" s="410"/>
      <c r="I49" s="413"/>
      <c r="J49" s="227"/>
      <c r="K49" s="227"/>
      <c r="L49" s="228" t="s">
        <v>1115</v>
      </c>
      <c r="M49" s="227"/>
      <c r="N49" s="227"/>
      <c r="O49" s="227"/>
      <c r="P49" s="229"/>
    </row>
    <row r="50" spans="1:16" ht="17.25" customHeight="1">
      <c r="A50" s="411"/>
      <c r="B50" s="412"/>
      <c r="C50" s="412"/>
      <c r="D50" s="412"/>
      <c r="E50" s="412"/>
      <c r="F50" s="412"/>
      <c r="G50" s="412"/>
      <c r="H50" s="412"/>
      <c r="I50" s="414"/>
      <c r="J50" s="230"/>
      <c r="K50" s="230"/>
      <c r="L50" s="230"/>
      <c r="M50" s="230"/>
      <c r="N50" s="230"/>
      <c r="O50" s="230"/>
      <c r="P50" s="231"/>
    </row>
    <row r="51" spans="1:16" ht="17.25" customHeight="1">
      <c r="A51" s="415" t="s">
        <v>1116</v>
      </c>
      <c r="B51" s="416"/>
      <c r="C51" s="416"/>
      <c r="D51" s="416"/>
      <c r="E51" s="416"/>
      <c r="F51" s="417"/>
      <c r="G51" s="415" t="s">
        <v>1117</v>
      </c>
      <c r="H51" s="417"/>
      <c r="I51" s="232" t="s">
        <v>1118</v>
      </c>
      <c r="J51" s="233" t="s">
        <v>1119</v>
      </c>
      <c r="K51" s="418" t="s">
        <v>1120</v>
      </c>
      <c r="L51" s="419"/>
      <c r="M51" s="420"/>
      <c r="N51" s="418" t="s">
        <v>1121</v>
      </c>
      <c r="O51" s="419"/>
      <c r="P51" s="420"/>
    </row>
    <row r="52" spans="1:16" s="205" customFormat="1" ht="27.75" customHeight="1">
      <c r="A52" s="421"/>
      <c r="B52" s="422"/>
      <c r="C52" s="422"/>
      <c r="D52" s="422"/>
      <c r="E52" s="422"/>
      <c r="F52" s="423"/>
      <c r="G52" s="370"/>
      <c r="H52" s="371"/>
      <c r="I52" s="234"/>
      <c r="J52" s="235"/>
      <c r="K52" s="367"/>
      <c r="L52" s="368"/>
      <c r="M52" s="369"/>
      <c r="N52" s="370"/>
      <c r="O52" s="372"/>
      <c r="P52" s="371"/>
    </row>
    <row r="53" spans="1:16" ht="27.75" customHeight="1">
      <c r="A53" s="400"/>
      <c r="B53" s="401"/>
      <c r="C53" s="401"/>
      <c r="D53" s="401"/>
      <c r="E53" s="401"/>
      <c r="F53" s="402"/>
      <c r="G53" s="370"/>
      <c r="H53" s="371"/>
      <c r="I53" s="234"/>
      <c r="J53" s="225"/>
      <c r="K53" s="367"/>
      <c r="L53" s="368"/>
      <c r="M53" s="369"/>
      <c r="N53" s="370"/>
      <c r="O53" s="372"/>
      <c r="P53" s="371"/>
    </row>
    <row r="54" spans="1:16" ht="25.5" customHeight="1">
      <c r="A54" s="400"/>
      <c r="B54" s="401"/>
      <c r="C54" s="401"/>
      <c r="D54" s="401"/>
      <c r="E54" s="401"/>
      <c r="F54" s="402"/>
      <c r="G54" s="370"/>
      <c r="H54" s="371"/>
      <c r="I54" s="234"/>
      <c r="J54" s="236"/>
      <c r="K54" s="367"/>
      <c r="L54" s="368"/>
      <c r="M54" s="369"/>
      <c r="N54" s="370"/>
      <c r="O54" s="372"/>
      <c r="P54" s="371"/>
    </row>
    <row r="55" spans="1:16" ht="24" customHeight="1">
      <c r="A55" s="400"/>
      <c r="B55" s="401"/>
      <c r="C55" s="401"/>
      <c r="D55" s="401"/>
      <c r="E55" s="401"/>
      <c r="F55" s="402"/>
      <c r="G55" s="370"/>
      <c r="H55" s="371"/>
      <c r="I55" s="234"/>
      <c r="J55" s="236"/>
      <c r="K55" s="367"/>
      <c r="L55" s="368"/>
      <c r="M55" s="369"/>
      <c r="N55" s="370"/>
      <c r="O55" s="372"/>
      <c r="P55" s="371"/>
    </row>
    <row r="56" spans="1:16" ht="17.25" customHeight="1">
      <c r="A56" s="400"/>
      <c r="B56" s="401"/>
      <c r="C56" s="401"/>
      <c r="D56" s="401"/>
      <c r="E56" s="401"/>
      <c r="F56" s="402"/>
      <c r="G56" s="370"/>
      <c r="H56" s="371"/>
      <c r="I56" s="234"/>
      <c r="J56" s="236"/>
      <c r="K56" s="367"/>
      <c r="L56" s="368"/>
      <c r="M56" s="369"/>
      <c r="N56" s="370"/>
      <c r="O56" s="372"/>
      <c r="P56" s="371"/>
    </row>
    <row r="57" spans="1:16" ht="25.5" customHeight="1">
      <c r="A57" s="400"/>
      <c r="B57" s="401"/>
      <c r="C57" s="401"/>
      <c r="D57" s="401"/>
      <c r="E57" s="401"/>
      <c r="F57" s="402"/>
      <c r="G57" s="370"/>
      <c r="H57" s="371"/>
      <c r="I57" s="234"/>
      <c r="J57" s="236"/>
      <c r="K57" s="367"/>
      <c r="L57" s="368"/>
      <c r="M57" s="369"/>
      <c r="N57" s="370"/>
      <c r="O57" s="372"/>
      <c r="P57" s="371"/>
    </row>
    <row r="58" spans="1:16" ht="17.25" customHeight="1">
      <c r="A58" s="400"/>
      <c r="B58" s="401"/>
      <c r="C58" s="401"/>
      <c r="D58" s="401"/>
      <c r="E58" s="401"/>
      <c r="F58" s="402"/>
      <c r="G58" s="370"/>
      <c r="H58" s="371"/>
      <c r="I58" s="234"/>
      <c r="J58" s="236"/>
      <c r="K58" s="367"/>
      <c r="L58" s="368"/>
      <c r="M58" s="369"/>
      <c r="N58" s="370"/>
      <c r="O58" s="372"/>
      <c r="P58" s="371"/>
    </row>
    <row r="59" spans="1:16" ht="17.25" customHeight="1">
      <c r="A59" s="367"/>
      <c r="B59" s="368"/>
      <c r="C59" s="368"/>
      <c r="D59" s="368"/>
      <c r="E59" s="368"/>
      <c r="F59" s="369"/>
      <c r="G59" s="370"/>
      <c r="H59" s="371"/>
      <c r="I59" s="236"/>
      <c r="J59" s="236"/>
      <c r="K59" s="367"/>
      <c r="L59" s="368"/>
      <c r="M59" s="369"/>
      <c r="N59" s="370"/>
      <c r="O59" s="372"/>
      <c r="P59" s="371"/>
    </row>
    <row r="60" spans="1:16" ht="35.25" customHeight="1">
      <c r="A60" s="373" t="s">
        <v>1122</v>
      </c>
      <c r="B60" s="373"/>
      <c r="C60" s="367" t="s">
        <v>1123</v>
      </c>
      <c r="D60" s="369"/>
      <c r="E60" s="217" t="s">
        <v>1124</v>
      </c>
      <c r="F60" s="374" t="s">
        <v>1125</v>
      </c>
      <c r="G60" s="375"/>
      <c r="H60" s="237" t="s">
        <v>1123</v>
      </c>
      <c r="I60" s="238" t="s">
        <v>1124</v>
      </c>
      <c r="J60" s="239" t="s">
        <v>1126</v>
      </c>
      <c r="K60" s="240"/>
      <c r="L60" s="241"/>
      <c r="M60" s="242"/>
      <c r="N60" s="242"/>
      <c r="O60" s="242"/>
      <c r="P60" s="243"/>
    </row>
    <row r="61" spans="1:16" ht="17.25" customHeight="1">
      <c r="A61" s="376" t="s">
        <v>1127</v>
      </c>
      <c r="B61" s="377"/>
      <c r="C61" s="377"/>
      <c r="D61" s="377"/>
      <c r="E61" s="377"/>
      <c r="F61" s="377"/>
      <c r="G61" s="377"/>
      <c r="H61" s="378"/>
      <c r="I61" s="379"/>
      <c r="J61" s="380"/>
      <c r="K61" s="380"/>
      <c r="L61" s="380"/>
      <c r="M61" s="380"/>
      <c r="N61" s="380"/>
      <c r="O61" s="380"/>
      <c r="P61" s="381"/>
    </row>
    <row r="62" spans="1:16" ht="17.25" customHeight="1">
      <c r="A62" s="388"/>
      <c r="B62" s="389"/>
      <c r="C62" s="389"/>
      <c r="D62" s="389"/>
      <c r="E62" s="389"/>
      <c r="F62" s="389"/>
      <c r="G62" s="389"/>
      <c r="H62" s="390"/>
      <c r="I62" s="382"/>
      <c r="J62" s="383"/>
      <c r="K62" s="383"/>
      <c r="L62" s="383"/>
      <c r="M62" s="383"/>
      <c r="N62" s="383"/>
      <c r="O62" s="383"/>
      <c r="P62" s="384"/>
    </row>
    <row r="63" spans="1:16" ht="17.25" customHeight="1">
      <c r="A63" s="391"/>
      <c r="B63" s="392"/>
      <c r="C63" s="392"/>
      <c r="D63" s="392"/>
      <c r="E63" s="392"/>
      <c r="F63" s="392"/>
      <c r="G63" s="392"/>
      <c r="H63" s="393"/>
      <c r="I63" s="385"/>
      <c r="J63" s="386"/>
      <c r="K63" s="386"/>
      <c r="L63" s="386"/>
      <c r="M63" s="386"/>
      <c r="N63" s="386"/>
      <c r="O63" s="386"/>
      <c r="P63" s="387"/>
    </row>
    <row r="64" spans="1:16" ht="17.25" customHeight="1">
      <c r="A64" s="394"/>
      <c r="B64" s="395"/>
      <c r="C64" s="395"/>
      <c r="D64" s="395"/>
      <c r="E64" s="395"/>
      <c r="F64" s="395"/>
      <c r="G64" s="395"/>
      <c r="H64" s="396"/>
      <c r="I64" s="397" t="s">
        <v>1128</v>
      </c>
      <c r="J64" s="398"/>
      <c r="K64" s="398"/>
      <c r="L64" s="398"/>
      <c r="M64" s="398"/>
      <c r="N64" s="398"/>
      <c r="O64" s="398"/>
      <c r="P64" s="399"/>
    </row>
    <row r="70" spans="4:4" ht="17.25" customHeight="1">
      <c r="D70" s="206" t="s">
        <v>1129</v>
      </c>
    </row>
  </sheetData>
  <mergeCells count="107">
    <mergeCell ref="C4:F4"/>
    <mergeCell ref="G4:L4"/>
    <mergeCell ref="M4:P4"/>
    <mergeCell ref="A1:B4"/>
    <mergeCell ref="C1:P1"/>
    <mergeCell ref="C2:P2"/>
    <mergeCell ref="Q2:AC2"/>
    <mergeCell ref="AD2:AP2"/>
    <mergeCell ref="AQ2:AU2"/>
    <mergeCell ref="C3:P3"/>
    <mergeCell ref="Q3:AC3"/>
    <mergeCell ref="AD3:AP3"/>
    <mergeCell ref="AQ3:AU3"/>
    <mergeCell ref="A6:P6"/>
    <mergeCell ref="A7:C7"/>
    <mergeCell ref="D7:E7"/>
    <mergeCell ref="G7:H7"/>
    <mergeCell ref="M7:N7"/>
    <mergeCell ref="O7:P7"/>
    <mergeCell ref="A8:C8"/>
    <mergeCell ref="D8:E8"/>
    <mergeCell ref="G8:P8"/>
    <mergeCell ref="A9:C10"/>
    <mergeCell ref="F9:G9"/>
    <mergeCell ref="J9:K9"/>
    <mergeCell ref="L9:P9"/>
    <mergeCell ref="E10:G10"/>
    <mergeCell ref="H10:I10"/>
    <mergeCell ref="J10:P10"/>
    <mergeCell ref="A11:P11"/>
    <mergeCell ref="A12:P12"/>
    <mergeCell ref="A13:P13"/>
    <mergeCell ref="A14:P14"/>
    <mergeCell ref="A15:P15"/>
    <mergeCell ref="A16:P16"/>
    <mergeCell ref="A17:P25"/>
    <mergeCell ref="A26:P26"/>
    <mergeCell ref="A28:G28"/>
    <mergeCell ref="I28:O28"/>
    <mergeCell ref="A29:G29"/>
    <mergeCell ref="I29:O29"/>
    <mergeCell ref="A30:G30"/>
    <mergeCell ref="I30:O30"/>
    <mergeCell ref="A31:G31"/>
    <mergeCell ref="I31:O31"/>
    <mergeCell ref="A32:G32"/>
    <mergeCell ref="I32:O32"/>
    <mergeCell ref="E33:E34"/>
    <mergeCell ref="I33:I34"/>
    <mergeCell ref="L34:O35"/>
    <mergeCell ref="E35:E36"/>
    <mergeCell ref="I35:I36"/>
    <mergeCell ref="A37:G37"/>
    <mergeCell ref="I37:O37"/>
    <mergeCell ref="A38:G38"/>
    <mergeCell ref="I38:O38"/>
    <mergeCell ref="A39:G39"/>
    <mergeCell ref="I39:O39"/>
    <mergeCell ref="A40:G40"/>
    <mergeCell ref="I40:O40"/>
    <mergeCell ref="A42:P42"/>
    <mergeCell ref="A43:P47"/>
    <mergeCell ref="A49:H50"/>
    <mergeCell ref="I49:I50"/>
    <mergeCell ref="A51:F51"/>
    <mergeCell ref="G51:H51"/>
    <mergeCell ref="K51:M51"/>
    <mergeCell ref="N51:P51"/>
    <mergeCell ref="A52:F52"/>
    <mergeCell ref="G52:H52"/>
    <mergeCell ref="K52:M52"/>
    <mergeCell ref="N52:P52"/>
    <mergeCell ref="A53:F53"/>
    <mergeCell ref="G53:H53"/>
    <mergeCell ref="K53:M53"/>
    <mergeCell ref="N53:P53"/>
    <mergeCell ref="A54:F54"/>
    <mergeCell ref="G54:H54"/>
    <mergeCell ref="K54:M54"/>
    <mergeCell ref="N54:P54"/>
    <mergeCell ref="A55:F55"/>
    <mergeCell ref="G55:H55"/>
    <mergeCell ref="K55:M55"/>
    <mergeCell ref="N55:P55"/>
    <mergeCell ref="A56:F56"/>
    <mergeCell ref="G56:H56"/>
    <mergeCell ref="K56:M56"/>
    <mergeCell ref="N56:P56"/>
    <mergeCell ref="A57:F57"/>
    <mergeCell ref="G57:H57"/>
    <mergeCell ref="K57:M57"/>
    <mergeCell ref="N57:P57"/>
    <mergeCell ref="A58:F58"/>
    <mergeCell ref="G58:H58"/>
    <mergeCell ref="K58:M58"/>
    <mergeCell ref="N58:P58"/>
    <mergeCell ref="A59:F59"/>
    <mergeCell ref="G59:H59"/>
    <mergeCell ref="K59:M59"/>
    <mergeCell ref="N59:P59"/>
    <mergeCell ref="A60:B60"/>
    <mergeCell ref="C60:D60"/>
    <mergeCell ref="F60:G60"/>
    <mergeCell ref="A61:H61"/>
    <mergeCell ref="I61:P63"/>
    <mergeCell ref="A62:H64"/>
    <mergeCell ref="I64:P64"/>
  </mergeCells>
  <pageMargins left="0.7" right="0.7" top="0.75" bottom="0.75" header="0.3" footer="0.3"/>
  <drawing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V65"/>
  <sheetViews>
    <sheetView topLeftCell="F6" workbookViewId="0">
      <selection activeCell="AL21" sqref="AL21:AR40"/>
    </sheetView>
  </sheetViews>
  <sheetFormatPr defaultColWidth="11.42578125" defaultRowHeight="17.25" customHeight="1"/>
  <cols>
    <col min="1" max="1" width="21.85546875" style="206" customWidth="1"/>
    <col min="2" max="2" width="6.85546875" style="206" customWidth="1"/>
    <col min="3" max="3" width="2.85546875" style="206" bestFit="1" customWidth="1"/>
    <col min="4" max="12" width="20.7109375" style="206" customWidth="1"/>
    <col min="13" max="15" width="11.42578125" style="206"/>
    <col min="16" max="16" width="11.28515625" style="206" customWidth="1"/>
    <col min="17" max="32" width="11.42578125" style="205"/>
    <col min="33" max="47" width="1.7109375" style="205" customWidth="1"/>
    <col min="48" max="48" width="11.42578125" style="205"/>
    <col min="49" max="16384" width="11.42578125" style="206"/>
  </cols>
  <sheetData>
    <row r="1" spans="1:48" ht="17.25" customHeight="1">
      <c r="A1" s="464"/>
      <c r="B1" s="465"/>
      <c r="C1" s="457" t="s">
        <v>1073</v>
      </c>
      <c r="D1" s="463"/>
      <c r="E1" s="463"/>
      <c r="F1" s="463"/>
      <c r="G1" s="463"/>
      <c r="H1" s="463"/>
      <c r="I1" s="463"/>
      <c r="J1" s="463"/>
      <c r="K1" s="463"/>
      <c r="L1" s="463"/>
      <c r="M1" s="463"/>
      <c r="N1" s="463"/>
      <c r="O1" s="463"/>
      <c r="P1" s="458"/>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row>
    <row r="2" spans="1:48" ht="17.25" customHeight="1">
      <c r="A2" s="466"/>
      <c r="B2" s="467"/>
      <c r="C2" s="457" t="s">
        <v>1074</v>
      </c>
      <c r="D2" s="463"/>
      <c r="E2" s="463"/>
      <c r="F2" s="463"/>
      <c r="G2" s="463"/>
      <c r="H2" s="463"/>
      <c r="I2" s="463"/>
      <c r="J2" s="463"/>
      <c r="K2" s="463"/>
      <c r="L2" s="463"/>
      <c r="M2" s="463"/>
      <c r="N2" s="463"/>
      <c r="O2" s="463"/>
      <c r="P2" s="458"/>
      <c r="Q2" s="470"/>
      <c r="R2" s="470"/>
      <c r="S2" s="470"/>
      <c r="T2" s="470"/>
      <c r="U2" s="470"/>
      <c r="V2" s="470"/>
      <c r="W2" s="470"/>
      <c r="X2" s="470"/>
      <c r="Y2" s="470"/>
      <c r="Z2" s="470"/>
      <c r="AA2" s="470"/>
      <c r="AB2" s="470"/>
      <c r="AC2" s="470"/>
      <c r="AD2" s="470"/>
      <c r="AE2" s="470"/>
      <c r="AF2" s="470"/>
      <c r="AG2" s="470"/>
      <c r="AH2" s="470"/>
      <c r="AI2" s="470"/>
      <c r="AJ2" s="470"/>
      <c r="AK2" s="470"/>
      <c r="AL2" s="470"/>
      <c r="AM2" s="470"/>
      <c r="AN2" s="470"/>
      <c r="AO2" s="470"/>
      <c r="AP2" s="470"/>
      <c r="AQ2" s="470"/>
      <c r="AR2" s="470"/>
      <c r="AS2" s="470"/>
      <c r="AT2" s="470"/>
      <c r="AU2" s="470"/>
    </row>
    <row r="3" spans="1:48" ht="17.25" customHeight="1">
      <c r="A3" s="466"/>
      <c r="B3" s="467"/>
      <c r="C3" s="457" t="s">
        <v>1075</v>
      </c>
      <c r="D3" s="463"/>
      <c r="E3" s="463"/>
      <c r="F3" s="463"/>
      <c r="G3" s="463"/>
      <c r="H3" s="463"/>
      <c r="I3" s="463"/>
      <c r="J3" s="463"/>
      <c r="K3" s="463"/>
      <c r="L3" s="463"/>
      <c r="M3" s="463"/>
      <c r="N3" s="463"/>
      <c r="O3" s="463"/>
      <c r="P3" s="458"/>
      <c r="Q3" s="470"/>
      <c r="R3" s="470"/>
      <c r="S3" s="470"/>
      <c r="T3" s="470"/>
      <c r="U3" s="470"/>
      <c r="V3" s="470"/>
      <c r="W3" s="470"/>
      <c r="X3" s="470"/>
      <c r="Y3" s="470"/>
      <c r="Z3" s="470"/>
      <c r="AA3" s="470"/>
      <c r="AB3" s="470"/>
      <c r="AC3" s="470"/>
      <c r="AD3" s="470"/>
      <c r="AE3" s="470"/>
      <c r="AF3" s="470"/>
      <c r="AG3" s="470"/>
      <c r="AH3" s="470"/>
      <c r="AI3" s="470"/>
      <c r="AJ3" s="470"/>
      <c r="AK3" s="470"/>
      <c r="AL3" s="470"/>
      <c r="AM3" s="470"/>
      <c r="AN3" s="470"/>
      <c r="AO3" s="470"/>
      <c r="AP3" s="470"/>
      <c r="AQ3" s="470"/>
      <c r="AR3" s="470"/>
      <c r="AS3" s="470"/>
      <c r="AT3" s="470"/>
      <c r="AU3" s="470"/>
    </row>
    <row r="4" spans="1:48" ht="12.75" customHeight="1">
      <c r="A4" s="468"/>
      <c r="B4" s="469"/>
      <c r="C4" s="445" t="s">
        <v>1076</v>
      </c>
      <c r="D4" s="446"/>
      <c r="E4" s="446"/>
      <c r="F4" s="447"/>
      <c r="G4" s="445" t="s">
        <v>1077</v>
      </c>
      <c r="H4" s="446"/>
      <c r="I4" s="446"/>
      <c r="J4" s="446"/>
      <c r="K4" s="446"/>
      <c r="L4" s="447"/>
      <c r="M4" s="457" t="s">
        <v>1078</v>
      </c>
      <c r="N4" s="463"/>
      <c r="O4" s="463"/>
      <c r="P4" s="458"/>
    </row>
    <row r="5" spans="1:48" ht="27" customHeight="1">
      <c r="A5" s="207"/>
      <c r="B5" s="208"/>
      <c r="C5" s="208"/>
      <c r="D5" s="208"/>
      <c r="E5" s="208"/>
      <c r="F5" s="208"/>
      <c r="G5" s="208"/>
      <c r="H5" s="208"/>
      <c r="I5" s="208"/>
      <c r="J5" s="208"/>
      <c r="K5" s="208"/>
      <c r="L5" s="208"/>
      <c r="M5" s="208"/>
      <c r="N5" s="208"/>
      <c r="O5" s="208"/>
      <c r="P5" s="209"/>
    </row>
    <row r="6" spans="1:48" ht="14.25" customHeight="1">
      <c r="A6" s="452" t="s">
        <v>1079</v>
      </c>
      <c r="B6" s="453"/>
      <c r="C6" s="453"/>
      <c r="D6" s="453"/>
      <c r="E6" s="453"/>
      <c r="F6" s="453"/>
      <c r="G6" s="453"/>
      <c r="H6" s="453"/>
      <c r="I6" s="453"/>
      <c r="J6" s="453"/>
      <c r="K6" s="453"/>
      <c r="L6" s="453"/>
      <c r="M6" s="453"/>
      <c r="N6" s="453"/>
      <c r="O6" s="453"/>
      <c r="P6" s="454"/>
      <c r="Q6" s="210"/>
      <c r="R6" s="210"/>
      <c r="S6" s="210"/>
      <c r="T6" s="210"/>
      <c r="U6" s="210"/>
      <c r="V6" s="210"/>
      <c r="W6" s="210"/>
      <c r="X6" s="210"/>
      <c r="Y6" s="210"/>
      <c r="Z6" s="210"/>
      <c r="AA6" s="210"/>
      <c r="AB6" s="210"/>
      <c r="AC6" s="210"/>
      <c r="AD6" s="210"/>
      <c r="AE6" s="210"/>
      <c r="AF6" s="210"/>
      <c r="AG6" s="210"/>
      <c r="AH6" s="210"/>
      <c r="AI6" s="210"/>
      <c r="AJ6" s="210"/>
      <c r="AK6" s="210"/>
      <c r="AL6" s="210"/>
      <c r="AM6" s="210"/>
      <c r="AN6" s="210"/>
      <c r="AO6" s="210"/>
      <c r="AP6" s="210"/>
      <c r="AQ6" s="210"/>
      <c r="AR6" s="210"/>
      <c r="AS6" s="210"/>
      <c r="AT6" s="210"/>
      <c r="AU6" s="210"/>
    </row>
    <row r="7" spans="1:48" ht="41.25" customHeight="1">
      <c r="A7" s="442" t="s">
        <v>1080</v>
      </c>
      <c r="B7" s="443"/>
      <c r="C7" s="444"/>
      <c r="D7" s="457" t="s">
        <v>1130</v>
      </c>
      <c r="E7" s="458"/>
      <c r="F7" s="211" t="s">
        <v>1082</v>
      </c>
      <c r="G7" s="457" t="s">
        <v>1131</v>
      </c>
      <c r="H7" s="458"/>
      <c r="I7" s="212" t="s">
        <v>1084</v>
      </c>
      <c r="J7" s="213" t="s">
        <v>1132</v>
      </c>
      <c r="K7" s="213" t="s">
        <v>1133</v>
      </c>
      <c r="L7" s="203" t="s">
        <v>1134</v>
      </c>
      <c r="M7" s="442" t="s">
        <v>1088</v>
      </c>
      <c r="N7" s="444"/>
      <c r="O7" s="490">
        <v>1</v>
      </c>
      <c r="P7" s="491"/>
      <c r="Q7" s="214"/>
      <c r="R7" s="214"/>
      <c r="U7" s="215"/>
      <c r="V7" s="215"/>
      <c r="W7" s="215"/>
      <c r="X7" s="215"/>
      <c r="Y7" s="215"/>
      <c r="Z7" s="215"/>
      <c r="AA7" s="215"/>
      <c r="AB7" s="215"/>
      <c r="AC7" s="215"/>
      <c r="AD7" s="215"/>
      <c r="AE7" s="215"/>
      <c r="AF7" s="215"/>
      <c r="AG7" s="215"/>
      <c r="AH7" s="215"/>
    </row>
    <row r="8" spans="1:48" ht="33" customHeight="1">
      <c r="A8" s="442" t="s">
        <v>1089</v>
      </c>
      <c r="B8" s="443"/>
      <c r="C8" s="443"/>
      <c r="D8" s="457" t="s">
        <v>1135</v>
      </c>
      <c r="E8" s="458"/>
      <c r="F8" s="216" t="s">
        <v>1090</v>
      </c>
      <c r="G8" s="460" t="s">
        <v>1136</v>
      </c>
      <c r="H8" s="461"/>
      <c r="I8" s="461"/>
      <c r="J8" s="461"/>
      <c r="K8" s="461"/>
      <c r="L8" s="461"/>
      <c r="M8" s="461"/>
      <c r="N8" s="461"/>
      <c r="O8" s="461"/>
      <c r="P8" s="462"/>
      <c r="Q8" s="206"/>
      <c r="R8" s="206"/>
      <c r="S8" s="206"/>
    </row>
    <row r="9" spans="1:48" ht="42.75" customHeight="1">
      <c r="A9" s="448" t="s">
        <v>1091</v>
      </c>
      <c r="B9" s="448"/>
      <c r="C9" s="448"/>
      <c r="D9" s="217" t="s">
        <v>1092</v>
      </c>
      <c r="E9" s="217" t="s">
        <v>1093</v>
      </c>
      <c r="F9" s="367" t="s">
        <v>1094</v>
      </c>
      <c r="G9" s="369"/>
      <c r="H9" s="218" t="s">
        <v>1095</v>
      </c>
      <c r="I9" s="218" t="s">
        <v>1096</v>
      </c>
      <c r="J9" s="425" t="s">
        <v>1097</v>
      </c>
      <c r="K9" s="425"/>
      <c r="L9" s="425" t="s">
        <v>1098</v>
      </c>
      <c r="M9" s="425"/>
      <c r="N9" s="425"/>
      <c r="O9" s="425"/>
      <c r="P9" s="425"/>
      <c r="AU9" s="206"/>
      <c r="AV9" s="206"/>
    </row>
    <row r="10" spans="1:48" ht="32.25" customHeight="1">
      <c r="A10" s="448"/>
      <c r="B10" s="448"/>
      <c r="C10" s="448"/>
      <c r="D10" s="217" t="s">
        <v>1099</v>
      </c>
      <c r="E10" s="367" t="s">
        <v>1100</v>
      </c>
      <c r="F10" s="368"/>
      <c r="G10" s="369"/>
      <c r="H10" s="367" t="s">
        <v>1137</v>
      </c>
      <c r="I10" s="369"/>
      <c r="J10" s="400" t="s">
        <v>1102</v>
      </c>
      <c r="K10" s="401"/>
      <c r="L10" s="401"/>
      <c r="M10" s="401"/>
      <c r="N10" s="401"/>
      <c r="O10" s="401"/>
      <c r="P10" s="402"/>
      <c r="AU10" s="206"/>
      <c r="AV10" s="206"/>
    </row>
    <row r="11" spans="1:48" ht="12.75" customHeight="1">
      <c r="A11" s="442" t="s">
        <v>1103</v>
      </c>
      <c r="B11" s="443"/>
      <c r="C11" s="443"/>
      <c r="D11" s="443"/>
      <c r="E11" s="443"/>
      <c r="F11" s="443"/>
      <c r="G11" s="443"/>
      <c r="H11" s="443"/>
      <c r="I11" s="443"/>
      <c r="J11" s="443"/>
      <c r="K11" s="443"/>
      <c r="L11" s="443"/>
      <c r="M11" s="443"/>
      <c r="N11" s="443"/>
      <c r="O11" s="443"/>
      <c r="P11" s="444"/>
    </row>
    <row r="12" spans="1:48" ht="43.5" customHeight="1">
      <c r="A12" s="449" t="s">
        <v>1138</v>
      </c>
      <c r="B12" s="450"/>
      <c r="C12" s="450"/>
      <c r="D12" s="450"/>
      <c r="E12" s="450"/>
      <c r="F12" s="450"/>
      <c r="G12" s="450"/>
      <c r="H12" s="450"/>
      <c r="I12" s="450"/>
      <c r="J12" s="450"/>
      <c r="K12" s="450"/>
      <c r="L12" s="450"/>
      <c r="M12" s="450"/>
      <c r="N12" s="450"/>
      <c r="O12" s="450"/>
      <c r="P12" s="451"/>
    </row>
    <row r="13" spans="1:48" ht="13.5" customHeight="1">
      <c r="A13" s="442" t="s">
        <v>1104</v>
      </c>
      <c r="B13" s="443"/>
      <c r="C13" s="443"/>
      <c r="D13" s="443"/>
      <c r="E13" s="443"/>
      <c r="F13" s="443"/>
      <c r="G13" s="443"/>
      <c r="H13" s="443"/>
      <c r="I13" s="443"/>
      <c r="J13" s="443"/>
      <c r="K13" s="443"/>
      <c r="L13" s="443"/>
      <c r="M13" s="443"/>
      <c r="N13" s="443"/>
      <c r="O13" s="443"/>
      <c r="P13" s="444"/>
    </row>
    <row r="14" spans="1:48" ht="42" customHeight="1">
      <c r="A14" s="449" t="s">
        <v>1139</v>
      </c>
      <c r="B14" s="450"/>
      <c r="C14" s="450"/>
      <c r="D14" s="450"/>
      <c r="E14" s="450"/>
      <c r="F14" s="450"/>
      <c r="G14" s="450"/>
      <c r="H14" s="450"/>
      <c r="I14" s="450"/>
      <c r="J14" s="450"/>
      <c r="K14" s="450"/>
      <c r="L14" s="450"/>
      <c r="M14" s="450"/>
      <c r="N14" s="450"/>
      <c r="O14" s="450"/>
      <c r="P14" s="451"/>
    </row>
    <row r="15" spans="1:48" ht="13.5" customHeight="1">
      <c r="A15" s="442" t="s">
        <v>1105</v>
      </c>
      <c r="B15" s="443"/>
      <c r="C15" s="443"/>
      <c r="D15" s="443"/>
      <c r="E15" s="443"/>
      <c r="F15" s="443"/>
      <c r="G15" s="443"/>
      <c r="H15" s="443"/>
      <c r="I15" s="443"/>
      <c r="J15" s="443"/>
      <c r="K15" s="443"/>
      <c r="L15" s="443"/>
      <c r="M15" s="443"/>
      <c r="N15" s="443"/>
      <c r="O15" s="443"/>
      <c r="P15" s="444"/>
    </row>
    <row r="16" spans="1:48" ht="13.5" customHeight="1">
      <c r="A16" s="442" t="s">
        <v>1106</v>
      </c>
      <c r="B16" s="443"/>
      <c r="C16" s="443"/>
      <c r="D16" s="443"/>
      <c r="E16" s="443"/>
      <c r="F16" s="443"/>
      <c r="G16" s="443"/>
      <c r="H16" s="443"/>
      <c r="I16" s="443"/>
      <c r="J16" s="443"/>
      <c r="K16" s="443"/>
      <c r="L16" s="443"/>
      <c r="M16" s="443"/>
      <c r="N16" s="443"/>
      <c r="O16" s="443"/>
      <c r="P16" s="444"/>
    </row>
    <row r="17" spans="1:16" ht="13.5" customHeight="1">
      <c r="A17" s="403"/>
      <c r="B17" s="404"/>
      <c r="C17" s="404"/>
      <c r="D17" s="404"/>
      <c r="E17" s="404"/>
      <c r="F17" s="404"/>
      <c r="G17" s="404"/>
      <c r="H17" s="404"/>
      <c r="I17" s="404"/>
      <c r="J17" s="404"/>
      <c r="K17" s="404"/>
      <c r="L17" s="404"/>
      <c r="M17" s="404"/>
      <c r="N17" s="404"/>
      <c r="O17" s="404"/>
      <c r="P17" s="405"/>
    </row>
    <row r="18" spans="1:16" ht="13.5" customHeight="1">
      <c r="A18" s="406"/>
      <c r="B18" s="407"/>
      <c r="C18" s="407"/>
      <c r="D18" s="407"/>
      <c r="E18" s="407"/>
      <c r="F18" s="407"/>
      <c r="G18" s="407"/>
      <c r="H18" s="407"/>
      <c r="I18" s="407"/>
      <c r="J18" s="407"/>
      <c r="K18" s="407"/>
      <c r="L18" s="407"/>
      <c r="M18" s="407"/>
      <c r="N18" s="407"/>
      <c r="O18" s="407"/>
      <c r="P18" s="408"/>
    </row>
    <row r="19" spans="1:16" ht="13.5" customHeight="1">
      <c r="A19" s="406"/>
      <c r="B19" s="407"/>
      <c r="C19" s="407"/>
      <c r="D19" s="407"/>
      <c r="E19" s="407"/>
      <c r="F19" s="407"/>
      <c r="G19" s="407"/>
      <c r="H19" s="407"/>
      <c r="I19" s="407"/>
      <c r="J19" s="407"/>
      <c r="K19" s="407"/>
      <c r="L19" s="407"/>
      <c r="M19" s="407"/>
      <c r="N19" s="407"/>
      <c r="O19" s="407"/>
      <c r="P19" s="408"/>
    </row>
    <row r="20" spans="1:16" ht="13.5" customHeight="1">
      <c r="A20" s="406"/>
      <c r="B20" s="407"/>
      <c r="C20" s="407"/>
      <c r="D20" s="407"/>
      <c r="E20" s="407"/>
      <c r="F20" s="407"/>
      <c r="G20" s="407"/>
      <c r="H20" s="407"/>
      <c r="I20" s="407"/>
      <c r="J20" s="407"/>
      <c r="K20" s="407"/>
      <c r="L20" s="407"/>
      <c r="M20" s="407"/>
      <c r="N20" s="407"/>
      <c r="O20" s="407"/>
      <c r="P20" s="408"/>
    </row>
    <row r="21" spans="1:16" ht="13.5" customHeight="1">
      <c r="A21" s="406"/>
      <c r="B21" s="407"/>
      <c r="C21" s="407"/>
      <c r="D21" s="407"/>
      <c r="E21" s="407"/>
      <c r="F21" s="407"/>
      <c r="G21" s="407"/>
      <c r="H21" s="407"/>
      <c r="I21" s="407"/>
      <c r="J21" s="407"/>
      <c r="K21" s="407"/>
      <c r="L21" s="407"/>
      <c r="M21" s="407"/>
      <c r="N21" s="407"/>
      <c r="O21" s="407"/>
      <c r="P21" s="408"/>
    </row>
    <row r="22" spans="1:16" ht="13.5" customHeight="1">
      <c r="A22" s="406"/>
      <c r="B22" s="407"/>
      <c r="C22" s="407"/>
      <c r="D22" s="407"/>
      <c r="E22" s="407"/>
      <c r="F22" s="407"/>
      <c r="G22" s="407"/>
      <c r="H22" s="407"/>
      <c r="I22" s="407"/>
      <c r="J22" s="407"/>
      <c r="K22" s="407"/>
      <c r="L22" s="407"/>
      <c r="M22" s="407"/>
      <c r="N22" s="407"/>
      <c r="O22" s="407"/>
      <c r="P22" s="408"/>
    </row>
    <row r="23" spans="1:16" ht="13.5" customHeight="1">
      <c r="A23" s="406"/>
      <c r="B23" s="407"/>
      <c r="C23" s="407"/>
      <c r="D23" s="407"/>
      <c r="E23" s="407"/>
      <c r="F23" s="407"/>
      <c r="G23" s="407"/>
      <c r="H23" s="407"/>
      <c r="I23" s="407"/>
      <c r="J23" s="407"/>
      <c r="K23" s="407"/>
      <c r="L23" s="407"/>
      <c r="M23" s="407"/>
      <c r="N23" s="407"/>
      <c r="O23" s="407"/>
      <c r="P23" s="408"/>
    </row>
    <row r="24" spans="1:16" ht="13.5" customHeight="1">
      <c r="A24" s="406"/>
      <c r="B24" s="407"/>
      <c r="C24" s="407"/>
      <c r="D24" s="407"/>
      <c r="E24" s="407"/>
      <c r="F24" s="407"/>
      <c r="G24" s="407"/>
      <c r="H24" s="407"/>
      <c r="I24" s="407"/>
      <c r="J24" s="407"/>
      <c r="K24" s="407"/>
      <c r="L24" s="407"/>
      <c r="M24" s="407"/>
      <c r="N24" s="407"/>
      <c r="O24" s="407"/>
      <c r="P24" s="408"/>
    </row>
    <row r="25" spans="1:16" ht="13.5" customHeight="1">
      <c r="A25" s="445"/>
      <c r="B25" s="446"/>
      <c r="C25" s="446"/>
      <c r="D25" s="446"/>
      <c r="E25" s="446"/>
      <c r="F25" s="446"/>
      <c r="G25" s="446"/>
      <c r="H25" s="446"/>
      <c r="I25" s="446"/>
      <c r="J25" s="446"/>
      <c r="K25" s="446"/>
      <c r="L25" s="446"/>
      <c r="M25" s="446"/>
      <c r="N25" s="446"/>
      <c r="O25" s="446"/>
      <c r="P25" s="447"/>
    </row>
    <row r="26" spans="1:16" ht="13.5" customHeight="1">
      <c r="A26" s="427" t="s">
        <v>1107</v>
      </c>
      <c r="B26" s="427"/>
      <c r="C26" s="427"/>
      <c r="D26" s="427"/>
      <c r="E26" s="427"/>
      <c r="F26" s="427"/>
      <c r="G26" s="427"/>
      <c r="H26" s="427"/>
      <c r="I26" s="427"/>
      <c r="J26" s="427"/>
      <c r="K26" s="427"/>
      <c r="L26" s="427"/>
      <c r="M26" s="427"/>
      <c r="N26" s="427"/>
      <c r="O26" s="427"/>
      <c r="P26" s="427"/>
    </row>
    <row r="27" spans="1:16" ht="13.5" customHeight="1">
      <c r="A27" s="219"/>
      <c r="B27" s="220"/>
      <c r="C27" s="220"/>
      <c r="D27" s="220"/>
      <c r="E27" s="220"/>
      <c r="F27" s="220"/>
      <c r="G27" s="220"/>
      <c r="H27" s="220"/>
      <c r="I27" s="220"/>
      <c r="J27" s="220"/>
      <c r="K27" s="220"/>
      <c r="L27" s="220"/>
      <c r="P27" s="221"/>
    </row>
    <row r="28" spans="1:16" ht="13.5" customHeight="1">
      <c r="A28" s="424" t="s">
        <v>1108</v>
      </c>
      <c r="B28" s="424"/>
      <c r="C28" s="424"/>
      <c r="D28" s="424"/>
      <c r="E28" s="424"/>
      <c r="F28" s="424"/>
      <c r="G28" s="424"/>
      <c r="I28" s="424" t="s">
        <v>1109</v>
      </c>
      <c r="J28" s="424"/>
      <c r="K28" s="424"/>
      <c r="L28" s="424"/>
      <c r="M28" s="424"/>
      <c r="N28" s="424"/>
      <c r="O28" s="424"/>
      <c r="P28" s="222"/>
    </row>
    <row r="29" spans="1:16" ht="17.25" customHeight="1">
      <c r="A29" s="424" t="s">
        <v>1140</v>
      </c>
      <c r="B29" s="424"/>
      <c r="C29" s="424"/>
      <c r="D29" s="424"/>
      <c r="E29" s="424"/>
      <c r="F29" s="424"/>
      <c r="G29" s="424"/>
      <c r="I29" s="425" t="s">
        <v>1141</v>
      </c>
      <c r="J29" s="425"/>
      <c r="K29" s="425"/>
      <c r="L29" s="425"/>
      <c r="M29" s="425"/>
      <c r="N29" s="425"/>
      <c r="O29" s="425"/>
      <c r="P29" s="222"/>
    </row>
    <row r="30" spans="1:16" ht="26.25" customHeight="1">
      <c r="A30" s="428" t="s">
        <v>1142</v>
      </c>
      <c r="B30" s="429"/>
      <c r="C30" s="429"/>
      <c r="D30" s="429"/>
      <c r="E30" s="429"/>
      <c r="F30" s="429"/>
      <c r="G30" s="430"/>
      <c r="I30" s="425"/>
      <c r="J30" s="425"/>
      <c r="K30" s="425"/>
      <c r="L30" s="425"/>
      <c r="M30" s="425"/>
      <c r="N30" s="425"/>
      <c r="O30" s="425"/>
      <c r="P30" s="222"/>
    </row>
    <row r="31" spans="1:16" ht="30" customHeight="1">
      <c r="A31" s="424"/>
      <c r="B31" s="424"/>
      <c r="C31" s="424"/>
      <c r="D31" s="424"/>
      <c r="E31" s="424"/>
      <c r="F31" s="424"/>
      <c r="G31" s="424"/>
      <c r="I31" s="367"/>
      <c r="J31" s="368"/>
      <c r="K31" s="368"/>
      <c r="L31" s="368"/>
      <c r="M31" s="368"/>
      <c r="N31" s="368"/>
      <c r="O31" s="369"/>
      <c r="P31" s="222"/>
    </row>
    <row r="32" spans="1:16" ht="19.5" customHeight="1">
      <c r="A32" s="424"/>
      <c r="B32" s="424"/>
      <c r="C32" s="424"/>
      <c r="D32" s="424"/>
      <c r="E32" s="424"/>
      <c r="F32" s="424"/>
      <c r="G32" s="424"/>
      <c r="I32" s="425"/>
      <c r="J32" s="425"/>
      <c r="K32" s="425"/>
      <c r="L32" s="425"/>
      <c r="M32" s="425"/>
      <c r="N32" s="425"/>
      <c r="O32" s="425"/>
      <c r="P32" s="222"/>
    </row>
    <row r="33" spans="1:16" ht="20.25" customHeight="1">
      <c r="A33" s="219"/>
      <c r="D33" s="220"/>
      <c r="E33" s="431"/>
      <c r="F33" s="220"/>
      <c r="G33" s="220"/>
      <c r="H33" s="220"/>
      <c r="I33" s="431"/>
      <c r="J33" s="223"/>
      <c r="K33" s="223"/>
      <c r="L33" s="220"/>
      <c r="P33" s="222"/>
    </row>
    <row r="34" spans="1:16" ht="13.5" customHeight="1" thickBot="1">
      <c r="A34" s="219"/>
      <c r="D34" s="220"/>
      <c r="E34" s="432"/>
      <c r="F34" s="224"/>
      <c r="G34" s="224"/>
      <c r="H34" s="224"/>
      <c r="I34" s="433"/>
      <c r="J34" s="223"/>
      <c r="K34" s="427" t="s">
        <v>1143</v>
      </c>
      <c r="L34" s="427"/>
      <c r="M34" s="427"/>
      <c r="N34" s="427"/>
      <c r="O34" s="427"/>
      <c r="P34" s="222"/>
    </row>
    <row r="35" spans="1:16" ht="35.25" customHeight="1" thickTop="1">
      <c r="A35" s="219"/>
      <c r="B35" s="220"/>
      <c r="E35" s="440"/>
      <c r="F35" s="220"/>
      <c r="I35" s="441"/>
      <c r="J35" s="223"/>
      <c r="K35" s="427"/>
      <c r="L35" s="427"/>
      <c r="M35" s="427"/>
      <c r="N35" s="427"/>
      <c r="O35" s="427"/>
      <c r="P35" s="222"/>
    </row>
    <row r="36" spans="1:16" ht="9.75" customHeight="1">
      <c r="A36" s="219"/>
      <c r="B36" s="220"/>
      <c r="D36" s="220"/>
      <c r="E36" s="440"/>
      <c r="F36" s="220"/>
      <c r="H36" s="220"/>
      <c r="I36" s="440"/>
      <c r="J36" s="223"/>
      <c r="K36" s="223"/>
      <c r="L36" s="220"/>
      <c r="P36" s="222"/>
    </row>
    <row r="37" spans="1:16" ht="24.75" customHeight="1">
      <c r="A37" s="424" t="s">
        <v>1111</v>
      </c>
      <c r="B37" s="424"/>
      <c r="C37" s="424"/>
      <c r="D37" s="424"/>
      <c r="E37" s="424"/>
      <c r="F37" s="424"/>
      <c r="G37" s="424"/>
      <c r="I37" s="424" t="s">
        <v>1112</v>
      </c>
      <c r="J37" s="424"/>
      <c r="K37" s="424"/>
      <c r="L37" s="424"/>
      <c r="M37" s="424"/>
      <c r="N37" s="424"/>
      <c r="O37" s="424"/>
      <c r="P37" s="222"/>
    </row>
    <row r="38" spans="1:16" ht="17.25" customHeight="1">
      <c r="A38" s="425" t="s">
        <v>1144</v>
      </c>
      <c r="B38" s="425"/>
      <c r="C38" s="425"/>
      <c r="D38" s="425"/>
      <c r="E38" s="425"/>
      <c r="F38" s="425"/>
      <c r="G38" s="425"/>
      <c r="I38" s="425" t="s">
        <v>1145</v>
      </c>
      <c r="J38" s="425"/>
      <c r="K38" s="425"/>
      <c r="L38" s="425"/>
      <c r="M38" s="425"/>
      <c r="N38" s="425"/>
      <c r="O38" s="425"/>
      <c r="P38" s="222"/>
    </row>
    <row r="39" spans="1:16" ht="17.25" customHeight="1">
      <c r="A39" s="426"/>
      <c r="B39" s="426"/>
      <c r="C39" s="426"/>
      <c r="D39" s="426"/>
      <c r="E39" s="426"/>
      <c r="F39" s="426"/>
      <c r="G39" s="426"/>
      <c r="I39" s="425"/>
      <c r="J39" s="425"/>
      <c r="K39" s="425"/>
      <c r="L39" s="425"/>
      <c r="M39" s="425"/>
      <c r="N39" s="425"/>
      <c r="O39" s="425"/>
      <c r="P39" s="222"/>
    </row>
    <row r="40" spans="1:16" ht="17.25" customHeight="1">
      <c r="A40" s="426"/>
      <c r="B40" s="426"/>
      <c r="C40" s="426"/>
      <c r="D40" s="426"/>
      <c r="E40" s="426"/>
      <c r="F40" s="426"/>
      <c r="G40" s="426"/>
      <c r="I40" s="425"/>
      <c r="J40" s="425"/>
      <c r="K40" s="425"/>
      <c r="L40" s="425"/>
      <c r="M40" s="425"/>
      <c r="N40" s="425"/>
      <c r="O40" s="425"/>
      <c r="P40" s="222"/>
    </row>
    <row r="41" spans="1:16" ht="13.5" customHeight="1">
      <c r="P41" s="222"/>
    </row>
    <row r="42" spans="1:16" ht="17.25" customHeight="1">
      <c r="A42" s="427" t="s">
        <v>1113</v>
      </c>
      <c r="B42" s="427"/>
      <c r="C42" s="427"/>
      <c r="D42" s="427"/>
      <c r="E42" s="427"/>
      <c r="F42" s="427"/>
      <c r="G42" s="427"/>
      <c r="H42" s="427"/>
      <c r="I42" s="427"/>
      <c r="J42" s="427"/>
      <c r="K42" s="427"/>
      <c r="L42" s="427"/>
      <c r="M42" s="427"/>
      <c r="N42" s="427"/>
      <c r="O42" s="427"/>
      <c r="P42" s="427"/>
    </row>
    <row r="43" spans="1:16" ht="5.25" customHeight="1">
      <c r="A43" s="487" t="s">
        <v>1143</v>
      </c>
      <c r="B43" s="487"/>
      <c r="C43" s="487"/>
      <c r="D43" s="487"/>
      <c r="E43" s="487"/>
      <c r="F43" s="487"/>
      <c r="G43" s="487"/>
      <c r="H43" s="487"/>
      <c r="I43" s="487"/>
      <c r="J43" s="487"/>
      <c r="K43" s="487"/>
      <c r="L43" s="487"/>
      <c r="M43" s="487"/>
      <c r="N43" s="487"/>
      <c r="O43" s="487"/>
      <c r="P43" s="487"/>
    </row>
    <row r="44" spans="1:16" ht="18" customHeight="1">
      <c r="A44" s="487"/>
      <c r="B44" s="487"/>
      <c r="C44" s="487"/>
      <c r="D44" s="487"/>
      <c r="E44" s="487"/>
      <c r="F44" s="487"/>
      <c r="G44" s="487"/>
      <c r="H44" s="487"/>
      <c r="I44" s="487"/>
      <c r="J44" s="487"/>
      <c r="K44" s="487"/>
      <c r="L44" s="487"/>
      <c r="M44" s="487"/>
      <c r="N44" s="487"/>
      <c r="O44" s="487"/>
      <c r="P44" s="487"/>
    </row>
    <row r="45" spans="1:16" ht="12" customHeight="1">
      <c r="A45" s="487"/>
      <c r="B45" s="487"/>
      <c r="C45" s="487"/>
      <c r="D45" s="487"/>
      <c r="E45" s="487"/>
      <c r="F45" s="487"/>
      <c r="G45" s="487"/>
      <c r="H45" s="487"/>
      <c r="I45" s="487"/>
      <c r="J45" s="487"/>
      <c r="K45" s="487"/>
      <c r="L45" s="487"/>
      <c r="M45" s="487"/>
      <c r="N45" s="487"/>
      <c r="O45" s="487"/>
      <c r="P45" s="487"/>
    </row>
    <row r="46" spans="1:16" ht="24.75" customHeight="1">
      <c r="A46" s="487"/>
      <c r="B46" s="487"/>
      <c r="C46" s="487"/>
      <c r="D46" s="487"/>
      <c r="E46" s="487"/>
      <c r="F46" s="487"/>
      <c r="G46" s="487"/>
      <c r="H46" s="487"/>
      <c r="I46" s="487"/>
      <c r="J46" s="487"/>
      <c r="K46" s="487"/>
      <c r="L46" s="487"/>
      <c r="M46" s="487"/>
      <c r="N46" s="487"/>
      <c r="O46" s="487"/>
      <c r="P46" s="487"/>
    </row>
    <row r="47" spans="1:16" ht="59.25" customHeight="1">
      <c r="A47" s="487"/>
      <c r="B47" s="487"/>
      <c r="C47" s="487"/>
      <c r="D47" s="487"/>
      <c r="E47" s="487"/>
      <c r="F47" s="487"/>
      <c r="G47" s="487"/>
      <c r="H47" s="487"/>
      <c r="I47" s="487"/>
      <c r="J47" s="487"/>
      <c r="K47" s="487"/>
      <c r="L47" s="487"/>
      <c r="M47" s="487"/>
      <c r="N47" s="487"/>
      <c r="O47" s="487"/>
      <c r="P47" s="487"/>
    </row>
    <row r="48" spans="1:16" ht="22.5" customHeight="1">
      <c r="A48" s="226"/>
      <c r="P48" s="222"/>
    </row>
    <row r="49" spans="1:16" ht="14.25" customHeight="1">
      <c r="A49" s="409" t="s">
        <v>1114</v>
      </c>
      <c r="B49" s="410"/>
      <c r="C49" s="410"/>
      <c r="D49" s="410"/>
      <c r="E49" s="410"/>
      <c r="F49" s="410"/>
      <c r="G49" s="410"/>
      <c r="H49" s="488"/>
      <c r="I49" s="410" t="s">
        <v>1115</v>
      </c>
      <c r="J49" s="410"/>
      <c r="K49" s="410"/>
      <c r="L49" s="410"/>
      <c r="M49" s="410"/>
      <c r="N49" s="410"/>
      <c r="O49" s="410"/>
      <c r="P49" s="488"/>
    </row>
    <row r="50" spans="1:16" ht="17.25" customHeight="1">
      <c r="A50" s="411"/>
      <c r="B50" s="412"/>
      <c r="C50" s="412"/>
      <c r="D50" s="412"/>
      <c r="E50" s="412"/>
      <c r="F50" s="412"/>
      <c r="G50" s="412"/>
      <c r="H50" s="489"/>
      <c r="I50" s="412"/>
      <c r="J50" s="412"/>
      <c r="K50" s="412"/>
      <c r="L50" s="412"/>
      <c r="M50" s="412"/>
      <c r="N50" s="412"/>
      <c r="O50" s="412"/>
      <c r="P50" s="489"/>
    </row>
    <row r="51" spans="1:16" ht="17.25" customHeight="1">
      <c r="A51" s="415" t="s">
        <v>1116</v>
      </c>
      <c r="B51" s="416"/>
      <c r="C51" s="416"/>
      <c r="D51" s="416"/>
      <c r="E51" s="416"/>
      <c r="F51" s="417"/>
      <c r="G51" s="415" t="s">
        <v>1117</v>
      </c>
      <c r="H51" s="417"/>
      <c r="I51" s="244" t="s">
        <v>1118</v>
      </c>
      <c r="J51" s="233" t="s">
        <v>1119</v>
      </c>
      <c r="K51" s="418" t="s">
        <v>1146</v>
      </c>
      <c r="L51" s="419"/>
      <c r="M51" s="419"/>
      <c r="N51" s="419"/>
      <c r="O51" s="419"/>
      <c r="P51" s="420"/>
    </row>
    <row r="52" spans="1:16" s="205" customFormat="1" ht="94.5" customHeight="1">
      <c r="A52" s="421" t="s">
        <v>1147</v>
      </c>
      <c r="B52" s="422"/>
      <c r="C52" s="422"/>
      <c r="D52" s="422"/>
      <c r="E52" s="422"/>
      <c r="F52" s="423"/>
      <c r="G52" s="370" t="s">
        <v>1148</v>
      </c>
      <c r="H52" s="371"/>
      <c r="I52" s="245">
        <v>42735</v>
      </c>
      <c r="J52" s="247">
        <v>42538</v>
      </c>
      <c r="K52" s="421" t="s">
        <v>1149</v>
      </c>
      <c r="L52" s="422"/>
      <c r="M52" s="422"/>
      <c r="N52" s="422"/>
      <c r="O52" s="422"/>
      <c r="P52" s="423"/>
    </row>
    <row r="53" spans="1:16" s="205" customFormat="1" ht="51.75" customHeight="1">
      <c r="A53" s="483"/>
      <c r="B53" s="484"/>
      <c r="C53" s="484"/>
      <c r="D53" s="484"/>
      <c r="E53" s="484"/>
      <c r="F53" s="485"/>
      <c r="G53" s="370"/>
      <c r="H53" s="371"/>
      <c r="I53" s="217"/>
      <c r="J53" s="236"/>
      <c r="K53" s="455"/>
      <c r="L53" s="486"/>
      <c r="M53" s="486"/>
      <c r="N53" s="486"/>
      <c r="O53" s="486"/>
      <c r="P53" s="456"/>
    </row>
    <row r="54" spans="1:16" ht="50.1" customHeight="1">
      <c r="A54" s="483"/>
      <c r="B54" s="484"/>
      <c r="C54" s="484"/>
      <c r="D54" s="484"/>
      <c r="E54" s="484"/>
      <c r="F54" s="485"/>
      <c r="G54" s="370"/>
      <c r="H54" s="371"/>
      <c r="I54" s="217"/>
      <c r="J54" s="236"/>
      <c r="K54" s="455"/>
      <c r="L54" s="486"/>
      <c r="M54" s="486"/>
      <c r="N54" s="486"/>
      <c r="O54" s="486"/>
      <c r="P54" s="456"/>
    </row>
    <row r="55" spans="1:16" ht="35.25" customHeight="1">
      <c r="A55" s="373" t="s">
        <v>1122</v>
      </c>
      <c r="B55" s="373"/>
      <c r="C55" s="367" t="s">
        <v>1123</v>
      </c>
      <c r="D55" s="369"/>
      <c r="E55" s="217" t="s">
        <v>1124</v>
      </c>
      <c r="F55" s="374" t="s">
        <v>1125</v>
      </c>
      <c r="G55" s="375"/>
      <c r="H55" s="237" t="s">
        <v>1150</v>
      </c>
      <c r="I55" s="237" t="s">
        <v>1124</v>
      </c>
      <c r="J55" s="239" t="s">
        <v>1126</v>
      </c>
      <c r="K55" s="471"/>
      <c r="L55" s="472"/>
      <c r="M55" s="472"/>
      <c r="N55" s="472"/>
      <c r="O55" s="472"/>
      <c r="P55" s="473"/>
    </row>
    <row r="56" spans="1:16" ht="17.25" customHeight="1">
      <c r="A56" s="376" t="s">
        <v>1127</v>
      </c>
      <c r="B56" s="377"/>
      <c r="C56" s="377"/>
      <c r="D56" s="377"/>
      <c r="E56" s="377"/>
      <c r="F56" s="377"/>
      <c r="G56" s="377"/>
      <c r="H56" s="378"/>
      <c r="I56" s="379"/>
      <c r="J56" s="380"/>
      <c r="K56" s="380"/>
      <c r="L56" s="380"/>
      <c r="M56" s="380"/>
      <c r="N56" s="380"/>
      <c r="O56" s="380"/>
      <c r="P56" s="381"/>
    </row>
    <row r="57" spans="1:16" ht="45.75" customHeight="1">
      <c r="A57" s="474"/>
      <c r="B57" s="475"/>
      <c r="C57" s="475"/>
      <c r="D57" s="475"/>
      <c r="E57" s="475"/>
      <c r="F57" s="475"/>
      <c r="G57" s="475"/>
      <c r="H57" s="476"/>
      <c r="I57" s="382"/>
      <c r="J57" s="383"/>
      <c r="K57" s="383"/>
      <c r="L57" s="383"/>
      <c r="M57" s="383"/>
      <c r="N57" s="383"/>
      <c r="O57" s="383"/>
      <c r="P57" s="384"/>
    </row>
    <row r="58" spans="1:16" ht="48" customHeight="1">
      <c r="A58" s="477"/>
      <c r="B58" s="478"/>
      <c r="C58" s="478"/>
      <c r="D58" s="478"/>
      <c r="E58" s="478"/>
      <c r="F58" s="478"/>
      <c r="G58" s="478"/>
      <c r="H58" s="479"/>
      <c r="I58" s="385"/>
      <c r="J58" s="386"/>
      <c r="K58" s="386"/>
      <c r="L58" s="386"/>
      <c r="M58" s="386"/>
      <c r="N58" s="386"/>
      <c r="O58" s="386"/>
      <c r="P58" s="387"/>
    </row>
    <row r="59" spans="1:16" ht="100.5" customHeight="1">
      <c r="A59" s="480"/>
      <c r="B59" s="481"/>
      <c r="C59" s="481"/>
      <c r="D59" s="481"/>
      <c r="E59" s="481"/>
      <c r="F59" s="481"/>
      <c r="G59" s="481"/>
      <c r="H59" s="482"/>
      <c r="I59" s="397" t="s">
        <v>1128</v>
      </c>
      <c r="J59" s="398"/>
      <c r="K59" s="398"/>
      <c r="L59" s="398"/>
      <c r="M59" s="398"/>
      <c r="N59" s="398"/>
      <c r="O59" s="398"/>
      <c r="P59" s="399"/>
    </row>
    <row r="65" spans="4:4" ht="17.25" customHeight="1">
      <c r="D65" s="206" t="s">
        <v>1129</v>
      </c>
    </row>
  </sheetData>
  <mergeCells count="84">
    <mergeCell ref="Q2:AC2"/>
    <mergeCell ref="AD2:AP2"/>
    <mergeCell ref="AQ2:AU2"/>
    <mergeCell ref="Q3:AC3"/>
    <mergeCell ref="AD3:AP3"/>
    <mergeCell ref="AQ3:AU3"/>
    <mergeCell ref="C4:F4"/>
    <mergeCell ref="G4:L4"/>
    <mergeCell ref="M4:P4"/>
    <mergeCell ref="A1:B4"/>
    <mergeCell ref="J10:P10"/>
    <mergeCell ref="A11:P11"/>
    <mergeCell ref="A12:P12"/>
    <mergeCell ref="A13:P13"/>
    <mergeCell ref="A6:P6"/>
    <mergeCell ref="A7:C7"/>
    <mergeCell ref="D7:E7"/>
    <mergeCell ref="G7:H7"/>
    <mergeCell ref="M7:N7"/>
    <mergeCell ref="O7:P7"/>
    <mergeCell ref="C3:P3"/>
    <mergeCell ref="C1:P1"/>
    <mergeCell ref="C2:P2"/>
    <mergeCell ref="A14:P14"/>
    <mergeCell ref="A15:P15"/>
    <mergeCell ref="A16:P16"/>
    <mergeCell ref="A8:C8"/>
    <mergeCell ref="D8:E8"/>
    <mergeCell ref="G8:P8"/>
    <mergeCell ref="A9:C10"/>
    <mergeCell ref="F9:G9"/>
    <mergeCell ref="J9:K9"/>
    <mergeCell ref="L9:P9"/>
    <mergeCell ref="E10:G10"/>
    <mergeCell ref="H10:I10"/>
    <mergeCell ref="A17:P25"/>
    <mergeCell ref="A26:P26"/>
    <mergeCell ref="A28:G28"/>
    <mergeCell ref="I28:O28"/>
    <mergeCell ref="A29:G29"/>
    <mergeCell ref="I29:O29"/>
    <mergeCell ref="I30:O30"/>
    <mergeCell ref="A30:G30"/>
    <mergeCell ref="I31:O31"/>
    <mergeCell ref="A32:G32"/>
    <mergeCell ref="I32:O32"/>
    <mergeCell ref="A31:G31"/>
    <mergeCell ref="E33:E34"/>
    <mergeCell ref="I33:I34"/>
    <mergeCell ref="E35:E36"/>
    <mergeCell ref="I35:I36"/>
    <mergeCell ref="A37:G37"/>
    <mergeCell ref="I37:O37"/>
    <mergeCell ref="K34:O35"/>
    <mergeCell ref="A38:G38"/>
    <mergeCell ref="I38:O38"/>
    <mergeCell ref="A39:G39"/>
    <mergeCell ref="I39:O39"/>
    <mergeCell ref="A40:G40"/>
    <mergeCell ref="I40:O40"/>
    <mergeCell ref="A42:P42"/>
    <mergeCell ref="A43:P47"/>
    <mergeCell ref="A49:H50"/>
    <mergeCell ref="I49:P50"/>
    <mergeCell ref="A51:F51"/>
    <mergeCell ref="G51:H51"/>
    <mergeCell ref="K51:P51"/>
    <mergeCell ref="A52:F52"/>
    <mergeCell ref="G52:H52"/>
    <mergeCell ref="K52:P52"/>
    <mergeCell ref="A54:F54"/>
    <mergeCell ref="G54:H54"/>
    <mergeCell ref="K54:P54"/>
    <mergeCell ref="A53:F53"/>
    <mergeCell ref="G53:H53"/>
    <mergeCell ref="K53:P53"/>
    <mergeCell ref="A55:B55"/>
    <mergeCell ref="C55:D55"/>
    <mergeCell ref="F55:G55"/>
    <mergeCell ref="K55:P55"/>
    <mergeCell ref="A56:H56"/>
    <mergeCell ref="I56:P58"/>
    <mergeCell ref="A57:H59"/>
    <mergeCell ref="I59:P59"/>
  </mergeCells>
  <pageMargins left="0.7" right="0.7" top="0.75" bottom="0.75" header="0.3" footer="0.3"/>
  <pageSetup paperSize="9" orientation="portrait" verticalDpi="599" r:id="rId1"/>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V65"/>
  <sheetViews>
    <sheetView topLeftCell="F1" workbookViewId="0">
      <selection activeCell="AL21" sqref="AL21:AR40"/>
    </sheetView>
  </sheetViews>
  <sheetFormatPr defaultColWidth="11.42578125" defaultRowHeight="17.25" customHeight="1"/>
  <cols>
    <col min="1" max="1" width="21.85546875" style="206" customWidth="1"/>
    <col min="2" max="2" width="6.85546875" style="206" customWidth="1"/>
    <col min="3" max="3" width="2.85546875" style="206" bestFit="1" customWidth="1"/>
    <col min="4" max="12" width="20.7109375" style="206" customWidth="1"/>
    <col min="13" max="15" width="11.42578125" style="206"/>
    <col min="16" max="16" width="11.28515625" style="206" customWidth="1"/>
    <col min="17" max="32" width="11.42578125" style="205"/>
    <col min="33" max="47" width="1.7109375" style="205" customWidth="1"/>
    <col min="48" max="48" width="11.42578125" style="205"/>
    <col min="49" max="16384" width="11.42578125" style="206"/>
  </cols>
  <sheetData>
    <row r="1" spans="1:48" ht="17.25" customHeight="1">
      <c r="A1" s="464"/>
      <c r="B1" s="465"/>
      <c r="C1" s="457" t="s">
        <v>1073</v>
      </c>
      <c r="D1" s="463"/>
      <c r="E1" s="463"/>
      <c r="F1" s="463"/>
      <c r="G1" s="463"/>
      <c r="H1" s="463"/>
      <c r="I1" s="463"/>
      <c r="J1" s="463"/>
      <c r="K1" s="463"/>
      <c r="L1" s="463"/>
      <c r="M1" s="463"/>
      <c r="N1" s="463"/>
      <c r="O1" s="463"/>
      <c r="P1" s="458"/>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row>
    <row r="2" spans="1:48" ht="17.25" customHeight="1">
      <c r="A2" s="466"/>
      <c r="B2" s="467"/>
      <c r="C2" s="457" t="s">
        <v>1074</v>
      </c>
      <c r="D2" s="463"/>
      <c r="E2" s="463"/>
      <c r="F2" s="463"/>
      <c r="G2" s="463"/>
      <c r="H2" s="463"/>
      <c r="I2" s="463"/>
      <c r="J2" s="463"/>
      <c r="K2" s="463"/>
      <c r="L2" s="463"/>
      <c r="M2" s="463"/>
      <c r="N2" s="463"/>
      <c r="O2" s="463"/>
      <c r="P2" s="458"/>
      <c r="Q2" s="470"/>
      <c r="R2" s="470"/>
      <c r="S2" s="470"/>
      <c r="T2" s="470"/>
      <c r="U2" s="470"/>
      <c r="V2" s="470"/>
      <c r="W2" s="470"/>
      <c r="X2" s="470"/>
      <c r="Y2" s="470"/>
      <c r="Z2" s="470"/>
      <c r="AA2" s="470"/>
      <c r="AB2" s="470"/>
      <c r="AC2" s="470"/>
      <c r="AD2" s="470"/>
      <c r="AE2" s="470"/>
      <c r="AF2" s="470"/>
      <c r="AG2" s="470"/>
      <c r="AH2" s="470"/>
      <c r="AI2" s="470"/>
      <c r="AJ2" s="470"/>
      <c r="AK2" s="470"/>
      <c r="AL2" s="470"/>
      <c r="AM2" s="470"/>
      <c r="AN2" s="470"/>
      <c r="AO2" s="470"/>
      <c r="AP2" s="470"/>
      <c r="AQ2" s="470"/>
      <c r="AR2" s="470"/>
      <c r="AS2" s="470"/>
      <c r="AT2" s="470"/>
      <c r="AU2" s="470"/>
    </row>
    <row r="3" spans="1:48" ht="17.25" customHeight="1">
      <c r="A3" s="466"/>
      <c r="B3" s="467"/>
      <c r="C3" s="457" t="s">
        <v>1075</v>
      </c>
      <c r="D3" s="463"/>
      <c r="E3" s="463"/>
      <c r="F3" s="463"/>
      <c r="G3" s="463"/>
      <c r="H3" s="463"/>
      <c r="I3" s="463"/>
      <c r="J3" s="463"/>
      <c r="K3" s="463"/>
      <c r="L3" s="463"/>
      <c r="M3" s="463"/>
      <c r="N3" s="463"/>
      <c r="O3" s="463"/>
      <c r="P3" s="458"/>
      <c r="Q3" s="470"/>
      <c r="R3" s="470"/>
      <c r="S3" s="470"/>
      <c r="T3" s="470"/>
      <c r="U3" s="470"/>
      <c r="V3" s="470"/>
      <c r="W3" s="470"/>
      <c r="X3" s="470"/>
      <c r="Y3" s="470"/>
      <c r="Z3" s="470"/>
      <c r="AA3" s="470"/>
      <c r="AB3" s="470"/>
      <c r="AC3" s="470"/>
      <c r="AD3" s="470"/>
      <c r="AE3" s="470"/>
      <c r="AF3" s="470"/>
      <c r="AG3" s="470"/>
      <c r="AH3" s="470"/>
      <c r="AI3" s="470"/>
      <c r="AJ3" s="470"/>
      <c r="AK3" s="470"/>
      <c r="AL3" s="470"/>
      <c r="AM3" s="470"/>
      <c r="AN3" s="470"/>
      <c r="AO3" s="470"/>
      <c r="AP3" s="470"/>
      <c r="AQ3" s="470"/>
      <c r="AR3" s="470"/>
      <c r="AS3" s="470"/>
      <c r="AT3" s="470"/>
      <c r="AU3" s="470"/>
    </row>
    <row r="4" spans="1:48" ht="12.75" customHeight="1">
      <c r="A4" s="468"/>
      <c r="B4" s="469"/>
      <c r="C4" s="445" t="s">
        <v>1076</v>
      </c>
      <c r="D4" s="446"/>
      <c r="E4" s="446"/>
      <c r="F4" s="447"/>
      <c r="G4" s="445" t="s">
        <v>1077</v>
      </c>
      <c r="H4" s="446"/>
      <c r="I4" s="446"/>
      <c r="J4" s="446"/>
      <c r="K4" s="446"/>
      <c r="L4" s="447"/>
      <c r="M4" s="457" t="s">
        <v>1078</v>
      </c>
      <c r="N4" s="463"/>
      <c r="O4" s="463"/>
      <c r="P4" s="458"/>
    </row>
    <row r="5" spans="1:48" ht="27" customHeight="1">
      <c r="A5" s="207"/>
      <c r="B5" s="208"/>
      <c r="C5" s="208"/>
      <c r="D5" s="208"/>
      <c r="E5" s="208"/>
      <c r="F5" s="208"/>
      <c r="G5" s="208"/>
      <c r="H5" s="208"/>
      <c r="I5" s="208"/>
      <c r="J5" s="208"/>
      <c r="K5" s="208"/>
      <c r="L5" s="208"/>
      <c r="M5" s="208"/>
      <c r="N5" s="208"/>
      <c r="O5" s="208"/>
      <c r="P5" s="209"/>
    </row>
    <row r="6" spans="1:48" ht="14.25" customHeight="1">
      <c r="A6" s="452" t="s">
        <v>1079</v>
      </c>
      <c r="B6" s="453"/>
      <c r="C6" s="453"/>
      <c r="D6" s="453"/>
      <c r="E6" s="453"/>
      <c r="F6" s="453"/>
      <c r="G6" s="453"/>
      <c r="H6" s="453"/>
      <c r="I6" s="453"/>
      <c r="J6" s="453"/>
      <c r="K6" s="453"/>
      <c r="L6" s="453"/>
      <c r="M6" s="453"/>
      <c r="N6" s="453"/>
      <c r="O6" s="453"/>
      <c r="P6" s="454"/>
      <c r="Q6" s="210"/>
      <c r="R6" s="210"/>
      <c r="S6" s="210"/>
      <c r="T6" s="210"/>
      <c r="U6" s="210"/>
      <c r="V6" s="210"/>
      <c r="W6" s="210"/>
      <c r="X6" s="210"/>
      <c r="Y6" s="210"/>
      <c r="Z6" s="210"/>
      <c r="AA6" s="210"/>
      <c r="AB6" s="210"/>
      <c r="AC6" s="210"/>
      <c r="AD6" s="210"/>
      <c r="AE6" s="210"/>
      <c r="AF6" s="210"/>
      <c r="AG6" s="210"/>
      <c r="AH6" s="210"/>
      <c r="AI6" s="210"/>
      <c r="AJ6" s="210"/>
      <c r="AK6" s="210"/>
      <c r="AL6" s="210"/>
      <c r="AM6" s="210"/>
      <c r="AN6" s="210"/>
      <c r="AO6" s="210"/>
      <c r="AP6" s="210"/>
      <c r="AQ6" s="210"/>
      <c r="AR6" s="210"/>
      <c r="AS6" s="210"/>
      <c r="AT6" s="210"/>
      <c r="AU6" s="210"/>
    </row>
    <row r="7" spans="1:48" ht="41.25" customHeight="1">
      <c r="A7" s="442" t="s">
        <v>1080</v>
      </c>
      <c r="B7" s="443"/>
      <c r="C7" s="444"/>
      <c r="D7" s="457" t="s">
        <v>1130</v>
      </c>
      <c r="E7" s="458"/>
      <c r="F7" s="211" t="s">
        <v>1082</v>
      </c>
      <c r="G7" s="457" t="s">
        <v>1131</v>
      </c>
      <c r="H7" s="458"/>
      <c r="I7" s="212" t="s">
        <v>1084</v>
      </c>
      <c r="J7" s="213" t="s">
        <v>1085</v>
      </c>
      <c r="K7" s="213" t="s">
        <v>1086</v>
      </c>
      <c r="L7" s="203" t="s">
        <v>1134</v>
      </c>
      <c r="M7" s="442" t="s">
        <v>1088</v>
      </c>
      <c r="N7" s="444"/>
      <c r="O7" s="490">
        <v>2</v>
      </c>
      <c r="P7" s="491"/>
      <c r="Q7" s="214"/>
      <c r="R7" s="214"/>
      <c r="U7" s="215"/>
      <c r="V7" s="215"/>
      <c r="W7" s="215"/>
      <c r="X7" s="215"/>
      <c r="Y7" s="215"/>
      <c r="Z7" s="215"/>
      <c r="AA7" s="215"/>
      <c r="AB7" s="215"/>
      <c r="AC7" s="215"/>
      <c r="AD7" s="215"/>
      <c r="AE7" s="215"/>
      <c r="AF7" s="215"/>
      <c r="AG7" s="215"/>
      <c r="AH7" s="215"/>
    </row>
    <row r="8" spans="1:48" ht="33" customHeight="1">
      <c r="A8" s="442" t="s">
        <v>1089</v>
      </c>
      <c r="B8" s="443"/>
      <c r="C8" s="443"/>
      <c r="D8" s="457" t="s">
        <v>1135</v>
      </c>
      <c r="E8" s="458"/>
      <c r="F8" s="216" t="s">
        <v>1090</v>
      </c>
      <c r="G8" s="460" t="s">
        <v>1136</v>
      </c>
      <c r="H8" s="461"/>
      <c r="I8" s="461"/>
      <c r="J8" s="461"/>
      <c r="K8" s="461"/>
      <c r="L8" s="461"/>
      <c r="M8" s="461"/>
      <c r="N8" s="461"/>
      <c r="O8" s="461"/>
      <c r="P8" s="462"/>
      <c r="Q8" s="206"/>
      <c r="R8" s="206"/>
      <c r="S8" s="206"/>
    </row>
    <row r="9" spans="1:48" ht="42.75" customHeight="1">
      <c r="A9" s="448" t="s">
        <v>1091</v>
      </c>
      <c r="B9" s="448"/>
      <c r="C9" s="448"/>
      <c r="D9" s="217" t="s">
        <v>1092</v>
      </c>
      <c r="E9" s="217" t="s">
        <v>1093</v>
      </c>
      <c r="F9" s="367" t="s">
        <v>1094</v>
      </c>
      <c r="G9" s="369"/>
      <c r="H9" s="218" t="s">
        <v>1095</v>
      </c>
      <c r="I9" s="218" t="s">
        <v>1096</v>
      </c>
      <c r="J9" s="425" t="s">
        <v>1097</v>
      </c>
      <c r="K9" s="425"/>
      <c r="L9" s="425" t="s">
        <v>1098</v>
      </c>
      <c r="M9" s="425"/>
      <c r="N9" s="425"/>
      <c r="O9" s="425"/>
      <c r="P9" s="425"/>
      <c r="AU9" s="206"/>
      <c r="AV9" s="206"/>
    </row>
    <row r="10" spans="1:48" ht="32.25" customHeight="1">
      <c r="A10" s="448"/>
      <c r="B10" s="448"/>
      <c r="C10" s="448"/>
      <c r="D10" s="217" t="s">
        <v>1099</v>
      </c>
      <c r="E10" s="367" t="s">
        <v>1100</v>
      </c>
      <c r="F10" s="368"/>
      <c r="G10" s="369"/>
      <c r="H10" s="367" t="s">
        <v>1137</v>
      </c>
      <c r="I10" s="369"/>
      <c r="J10" s="400" t="s">
        <v>1102</v>
      </c>
      <c r="K10" s="401"/>
      <c r="L10" s="401"/>
      <c r="M10" s="401"/>
      <c r="N10" s="401"/>
      <c r="O10" s="401"/>
      <c r="P10" s="402"/>
      <c r="AU10" s="206"/>
      <c r="AV10" s="206"/>
    </row>
    <row r="11" spans="1:48" ht="12.75" customHeight="1">
      <c r="A11" s="442" t="s">
        <v>1103</v>
      </c>
      <c r="B11" s="443"/>
      <c r="C11" s="443"/>
      <c r="D11" s="443"/>
      <c r="E11" s="443"/>
      <c r="F11" s="443"/>
      <c r="G11" s="443"/>
      <c r="H11" s="443"/>
      <c r="I11" s="443"/>
      <c r="J11" s="443"/>
      <c r="K11" s="443"/>
      <c r="L11" s="443"/>
      <c r="M11" s="443"/>
      <c r="N11" s="443"/>
      <c r="O11" s="443"/>
      <c r="P11" s="444"/>
    </row>
    <row r="12" spans="1:48" ht="43.5" customHeight="1">
      <c r="A12" s="449" t="s">
        <v>1151</v>
      </c>
      <c r="B12" s="450"/>
      <c r="C12" s="450"/>
      <c r="D12" s="450"/>
      <c r="E12" s="450"/>
      <c r="F12" s="450"/>
      <c r="G12" s="450"/>
      <c r="H12" s="450"/>
      <c r="I12" s="450"/>
      <c r="J12" s="450"/>
      <c r="K12" s="450"/>
      <c r="L12" s="450"/>
      <c r="M12" s="450"/>
      <c r="N12" s="450"/>
      <c r="O12" s="450"/>
      <c r="P12" s="451"/>
    </row>
    <row r="13" spans="1:48" ht="13.5" customHeight="1">
      <c r="A13" s="442" t="s">
        <v>1104</v>
      </c>
      <c r="B13" s="443"/>
      <c r="C13" s="443"/>
      <c r="D13" s="443"/>
      <c r="E13" s="443"/>
      <c r="F13" s="443"/>
      <c r="G13" s="443"/>
      <c r="H13" s="443"/>
      <c r="I13" s="443"/>
      <c r="J13" s="443"/>
      <c r="K13" s="443"/>
      <c r="L13" s="443"/>
      <c r="M13" s="443"/>
      <c r="N13" s="443"/>
      <c r="O13" s="443"/>
      <c r="P13" s="444"/>
    </row>
    <row r="14" spans="1:48" ht="42" customHeight="1">
      <c r="A14" s="449" t="s">
        <v>1152</v>
      </c>
      <c r="B14" s="450"/>
      <c r="C14" s="450"/>
      <c r="D14" s="450"/>
      <c r="E14" s="450"/>
      <c r="F14" s="450"/>
      <c r="G14" s="450"/>
      <c r="H14" s="450"/>
      <c r="I14" s="450"/>
      <c r="J14" s="450"/>
      <c r="K14" s="450"/>
      <c r="L14" s="450"/>
      <c r="M14" s="450"/>
      <c r="N14" s="450"/>
      <c r="O14" s="450"/>
      <c r="P14" s="451"/>
    </row>
    <row r="15" spans="1:48" ht="13.5" customHeight="1">
      <c r="A15" s="442" t="s">
        <v>1105</v>
      </c>
      <c r="B15" s="443"/>
      <c r="C15" s="443"/>
      <c r="D15" s="443"/>
      <c r="E15" s="443"/>
      <c r="F15" s="443"/>
      <c r="G15" s="443"/>
      <c r="H15" s="443"/>
      <c r="I15" s="443"/>
      <c r="J15" s="443"/>
      <c r="K15" s="443"/>
      <c r="L15" s="443"/>
      <c r="M15" s="443"/>
      <c r="N15" s="443"/>
      <c r="O15" s="443"/>
      <c r="P15" s="444"/>
    </row>
    <row r="16" spans="1:48" ht="13.5" customHeight="1">
      <c r="A16" s="442" t="s">
        <v>1106</v>
      </c>
      <c r="B16" s="443"/>
      <c r="C16" s="443"/>
      <c r="D16" s="443"/>
      <c r="E16" s="443"/>
      <c r="F16" s="443"/>
      <c r="G16" s="443"/>
      <c r="H16" s="443"/>
      <c r="I16" s="443"/>
      <c r="J16" s="443"/>
      <c r="K16" s="443"/>
      <c r="L16" s="443"/>
      <c r="M16" s="443"/>
      <c r="N16" s="443"/>
      <c r="O16" s="443"/>
      <c r="P16" s="444"/>
    </row>
    <row r="17" spans="1:16" ht="13.5" customHeight="1">
      <c r="A17" s="403"/>
      <c r="B17" s="404"/>
      <c r="C17" s="404"/>
      <c r="D17" s="404"/>
      <c r="E17" s="404"/>
      <c r="F17" s="404"/>
      <c r="G17" s="404"/>
      <c r="H17" s="404"/>
      <c r="I17" s="404"/>
      <c r="J17" s="404"/>
      <c r="K17" s="404"/>
      <c r="L17" s="404"/>
      <c r="M17" s="404"/>
      <c r="N17" s="404"/>
      <c r="O17" s="404"/>
      <c r="P17" s="405"/>
    </row>
    <row r="18" spans="1:16" ht="13.5" customHeight="1">
      <c r="A18" s="406"/>
      <c r="B18" s="407"/>
      <c r="C18" s="407"/>
      <c r="D18" s="407"/>
      <c r="E18" s="407"/>
      <c r="F18" s="407"/>
      <c r="G18" s="407"/>
      <c r="H18" s="407"/>
      <c r="I18" s="407"/>
      <c r="J18" s="407"/>
      <c r="K18" s="407"/>
      <c r="L18" s="407"/>
      <c r="M18" s="407"/>
      <c r="N18" s="407"/>
      <c r="O18" s="407"/>
      <c r="P18" s="408"/>
    </row>
    <row r="19" spans="1:16" ht="13.5" customHeight="1">
      <c r="A19" s="406"/>
      <c r="B19" s="407"/>
      <c r="C19" s="407"/>
      <c r="D19" s="407"/>
      <c r="E19" s="407"/>
      <c r="F19" s="407"/>
      <c r="G19" s="407"/>
      <c r="H19" s="407"/>
      <c r="I19" s="407"/>
      <c r="J19" s="407"/>
      <c r="K19" s="407"/>
      <c r="L19" s="407"/>
      <c r="M19" s="407"/>
      <c r="N19" s="407"/>
      <c r="O19" s="407"/>
      <c r="P19" s="408"/>
    </row>
    <row r="20" spans="1:16" ht="13.5" customHeight="1">
      <c r="A20" s="406"/>
      <c r="B20" s="407"/>
      <c r="C20" s="407"/>
      <c r="D20" s="407"/>
      <c r="E20" s="407"/>
      <c r="F20" s="407"/>
      <c r="G20" s="407"/>
      <c r="H20" s="407"/>
      <c r="I20" s="407"/>
      <c r="J20" s="407"/>
      <c r="K20" s="407"/>
      <c r="L20" s="407"/>
      <c r="M20" s="407"/>
      <c r="N20" s="407"/>
      <c r="O20" s="407"/>
      <c r="P20" s="408"/>
    </row>
    <row r="21" spans="1:16" ht="13.5" customHeight="1">
      <c r="A21" s="406"/>
      <c r="B21" s="407"/>
      <c r="C21" s="407"/>
      <c r="D21" s="407"/>
      <c r="E21" s="407"/>
      <c r="F21" s="407"/>
      <c r="G21" s="407"/>
      <c r="H21" s="407"/>
      <c r="I21" s="407"/>
      <c r="J21" s="407"/>
      <c r="K21" s="407"/>
      <c r="L21" s="407"/>
      <c r="M21" s="407"/>
      <c r="N21" s="407"/>
      <c r="O21" s="407"/>
      <c r="P21" s="408"/>
    </row>
    <row r="22" spans="1:16" ht="13.5" customHeight="1">
      <c r="A22" s="406"/>
      <c r="B22" s="407"/>
      <c r="C22" s="407"/>
      <c r="D22" s="407"/>
      <c r="E22" s="407"/>
      <c r="F22" s="407"/>
      <c r="G22" s="407"/>
      <c r="H22" s="407"/>
      <c r="I22" s="407"/>
      <c r="J22" s="407"/>
      <c r="K22" s="407"/>
      <c r="L22" s="407"/>
      <c r="M22" s="407"/>
      <c r="N22" s="407"/>
      <c r="O22" s="407"/>
      <c r="P22" s="408"/>
    </row>
    <row r="23" spans="1:16" ht="13.5" customHeight="1">
      <c r="A23" s="406"/>
      <c r="B23" s="407"/>
      <c r="C23" s="407"/>
      <c r="D23" s="407"/>
      <c r="E23" s="407"/>
      <c r="F23" s="407"/>
      <c r="G23" s="407"/>
      <c r="H23" s="407"/>
      <c r="I23" s="407"/>
      <c r="J23" s="407"/>
      <c r="K23" s="407"/>
      <c r="L23" s="407"/>
      <c r="M23" s="407"/>
      <c r="N23" s="407"/>
      <c r="O23" s="407"/>
      <c r="P23" s="408"/>
    </row>
    <row r="24" spans="1:16" ht="13.5" customHeight="1">
      <c r="A24" s="406"/>
      <c r="B24" s="407"/>
      <c r="C24" s="407"/>
      <c r="D24" s="407"/>
      <c r="E24" s="407"/>
      <c r="F24" s="407"/>
      <c r="G24" s="407"/>
      <c r="H24" s="407"/>
      <c r="I24" s="407"/>
      <c r="J24" s="407"/>
      <c r="K24" s="407"/>
      <c r="L24" s="407"/>
      <c r="M24" s="407"/>
      <c r="N24" s="407"/>
      <c r="O24" s="407"/>
      <c r="P24" s="408"/>
    </row>
    <row r="25" spans="1:16" ht="13.5" customHeight="1">
      <c r="A25" s="445"/>
      <c r="B25" s="446"/>
      <c r="C25" s="446"/>
      <c r="D25" s="446"/>
      <c r="E25" s="446"/>
      <c r="F25" s="446"/>
      <c r="G25" s="446"/>
      <c r="H25" s="446"/>
      <c r="I25" s="446"/>
      <c r="J25" s="446"/>
      <c r="K25" s="446"/>
      <c r="L25" s="446"/>
      <c r="M25" s="446"/>
      <c r="N25" s="446"/>
      <c r="O25" s="446"/>
      <c r="P25" s="447"/>
    </row>
    <row r="26" spans="1:16" ht="13.5" customHeight="1">
      <c r="A26" s="427" t="s">
        <v>1107</v>
      </c>
      <c r="B26" s="427"/>
      <c r="C26" s="427"/>
      <c r="D26" s="427"/>
      <c r="E26" s="427"/>
      <c r="F26" s="427"/>
      <c r="G26" s="427"/>
      <c r="H26" s="427"/>
      <c r="I26" s="427"/>
      <c r="J26" s="427"/>
      <c r="K26" s="427"/>
      <c r="L26" s="427"/>
      <c r="M26" s="427"/>
      <c r="N26" s="427"/>
      <c r="O26" s="427"/>
      <c r="P26" s="427"/>
    </row>
    <row r="27" spans="1:16" ht="13.5" customHeight="1">
      <c r="A27" s="219"/>
      <c r="B27" s="220"/>
      <c r="C27" s="220"/>
      <c r="D27" s="220"/>
      <c r="E27" s="220"/>
      <c r="F27" s="220"/>
      <c r="G27" s="220"/>
      <c r="H27" s="220"/>
      <c r="I27" s="220"/>
      <c r="J27" s="220"/>
      <c r="K27" s="220"/>
      <c r="L27" s="220"/>
      <c r="P27" s="221"/>
    </row>
    <row r="28" spans="1:16" ht="13.5" customHeight="1">
      <c r="A28" s="424" t="s">
        <v>1108</v>
      </c>
      <c r="B28" s="424"/>
      <c r="C28" s="424"/>
      <c r="D28" s="424"/>
      <c r="E28" s="424"/>
      <c r="F28" s="424"/>
      <c r="G28" s="424"/>
      <c r="I28" s="424" t="s">
        <v>1109</v>
      </c>
      <c r="J28" s="424"/>
      <c r="K28" s="424"/>
      <c r="L28" s="424"/>
      <c r="M28" s="424"/>
      <c r="N28" s="424"/>
      <c r="O28" s="424"/>
      <c r="P28" s="222"/>
    </row>
    <row r="29" spans="1:16" ht="17.25" customHeight="1">
      <c r="A29" s="424" t="s">
        <v>1140</v>
      </c>
      <c r="B29" s="424"/>
      <c r="C29" s="424"/>
      <c r="D29" s="424"/>
      <c r="E29" s="424"/>
      <c r="F29" s="424"/>
      <c r="G29" s="424"/>
      <c r="I29" s="425" t="s">
        <v>1141</v>
      </c>
      <c r="J29" s="425"/>
      <c r="K29" s="425"/>
      <c r="L29" s="425"/>
      <c r="M29" s="425"/>
      <c r="N29" s="425"/>
      <c r="O29" s="425"/>
      <c r="P29" s="222"/>
    </row>
    <row r="30" spans="1:16" ht="26.25" customHeight="1">
      <c r="A30" s="428" t="s">
        <v>1153</v>
      </c>
      <c r="B30" s="429"/>
      <c r="C30" s="429"/>
      <c r="D30" s="429"/>
      <c r="E30" s="429"/>
      <c r="F30" s="429"/>
      <c r="G30" s="430"/>
      <c r="I30" s="425"/>
      <c r="J30" s="425"/>
      <c r="K30" s="425"/>
      <c r="L30" s="425"/>
      <c r="M30" s="425"/>
      <c r="N30" s="425"/>
      <c r="O30" s="425"/>
      <c r="P30" s="222"/>
    </row>
    <row r="31" spans="1:16" ht="30" customHeight="1">
      <c r="A31" s="428"/>
      <c r="B31" s="429"/>
      <c r="C31" s="429"/>
      <c r="D31" s="429"/>
      <c r="E31" s="429"/>
      <c r="F31" s="429"/>
      <c r="G31" s="430"/>
      <c r="I31" s="367"/>
      <c r="J31" s="368"/>
      <c r="K31" s="368"/>
      <c r="L31" s="368"/>
      <c r="M31" s="368"/>
      <c r="N31" s="368"/>
      <c r="O31" s="369"/>
      <c r="P31" s="222"/>
    </row>
    <row r="32" spans="1:16" ht="19.5" customHeight="1">
      <c r="A32" s="424"/>
      <c r="B32" s="424"/>
      <c r="C32" s="424"/>
      <c r="D32" s="424"/>
      <c r="E32" s="424"/>
      <c r="F32" s="424"/>
      <c r="G32" s="424"/>
      <c r="I32" s="425"/>
      <c r="J32" s="425"/>
      <c r="K32" s="425"/>
      <c r="L32" s="425"/>
      <c r="M32" s="425"/>
      <c r="N32" s="425"/>
      <c r="O32" s="425"/>
      <c r="P32" s="222"/>
    </row>
    <row r="33" spans="1:16" ht="20.25" customHeight="1">
      <c r="A33" s="219"/>
      <c r="D33" s="220"/>
      <c r="E33" s="431"/>
      <c r="F33" s="220"/>
      <c r="G33" s="220"/>
      <c r="H33" s="220"/>
      <c r="I33" s="431"/>
      <c r="J33" s="223"/>
      <c r="K33" s="223"/>
      <c r="L33" s="220"/>
      <c r="P33" s="222"/>
    </row>
    <row r="34" spans="1:16" ht="13.5" customHeight="1" thickBot="1">
      <c r="A34" s="219"/>
      <c r="D34" s="220"/>
      <c r="E34" s="432"/>
      <c r="F34" s="224"/>
      <c r="G34" s="224"/>
      <c r="H34" s="224"/>
      <c r="I34" s="433"/>
      <c r="J34" s="223"/>
      <c r="K34" s="427" t="s">
        <v>1143</v>
      </c>
      <c r="L34" s="427"/>
      <c r="M34" s="427"/>
      <c r="N34" s="427"/>
      <c r="O34" s="427"/>
      <c r="P34" s="222"/>
    </row>
    <row r="35" spans="1:16" ht="35.25" customHeight="1" thickTop="1">
      <c r="A35" s="219"/>
      <c r="B35" s="220"/>
      <c r="E35" s="440"/>
      <c r="F35" s="220"/>
      <c r="I35" s="441"/>
      <c r="J35" s="223"/>
      <c r="K35" s="427"/>
      <c r="L35" s="427"/>
      <c r="M35" s="427"/>
      <c r="N35" s="427"/>
      <c r="O35" s="427"/>
      <c r="P35" s="222"/>
    </row>
    <row r="36" spans="1:16" ht="9.75" customHeight="1">
      <c r="A36" s="219"/>
      <c r="B36" s="220"/>
      <c r="D36" s="220"/>
      <c r="E36" s="440"/>
      <c r="F36" s="220"/>
      <c r="H36" s="220"/>
      <c r="I36" s="440"/>
      <c r="J36" s="223"/>
      <c r="K36" s="223"/>
      <c r="L36" s="220"/>
      <c r="P36" s="222"/>
    </row>
    <row r="37" spans="1:16" ht="24.75" customHeight="1">
      <c r="A37" s="424" t="s">
        <v>1111</v>
      </c>
      <c r="B37" s="424"/>
      <c r="C37" s="424"/>
      <c r="D37" s="424"/>
      <c r="E37" s="424"/>
      <c r="F37" s="424"/>
      <c r="G37" s="424"/>
      <c r="I37" s="424" t="s">
        <v>1112</v>
      </c>
      <c r="J37" s="424"/>
      <c r="K37" s="424"/>
      <c r="L37" s="424"/>
      <c r="M37" s="424"/>
      <c r="N37" s="424"/>
      <c r="O37" s="424"/>
      <c r="P37" s="222"/>
    </row>
    <row r="38" spans="1:16" ht="17.25" customHeight="1">
      <c r="A38" s="425" t="s">
        <v>1144</v>
      </c>
      <c r="B38" s="425"/>
      <c r="C38" s="425"/>
      <c r="D38" s="425"/>
      <c r="E38" s="425"/>
      <c r="F38" s="425"/>
      <c r="G38" s="425"/>
      <c r="I38" s="425" t="s">
        <v>1145</v>
      </c>
      <c r="J38" s="425"/>
      <c r="K38" s="425"/>
      <c r="L38" s="425"/>
      <c r="M38" s="425"/>
      <c r="N38" s="425"/>
      <c r="O38" s="425"/>
      <c r="P38" s="222"/>
    </row>
    <row r="39" spans="1:16" ht="17.25" customHeight="1">
      <c r="A39" s="426"/>
      <c r="B39" s="426"/>
      <c r="C39" s="426"/>
      <c r="D39" s="426"/>
      <c r="E39" s="426"/>
      <c r="F39" s="426"/>
      <c r="G39" s="426"/>
      <c r="I39" s="425"/>
      <c r="J39" s="425"/>
      <c r="K39" s="425"/>
      <c r="L39" s="425"/>
      <c r="M39" s="425"/>
      <c r="N39" s="425"/>
      <c r="O39" s="425"/>
      <c r="P39" s="222"/>
    </row>
    <row r="40" spans="1:16" ht="17.25" customHeight="1">
      <c r="A40" s="426"/>
      <c r="B40" s="426"/>
      <c r="C40" s="426"/>
      <c r="D40" s="426"/>
      <c r="E40" s="426"/>
      <c r="F40" s="426"/>
      <c r="G40" s="426"/>
      <c r="I40" s="425"/>
      <c r="J40" s="425"/>
      <c r="K40" s="425"/>
      <c r="L40" s="425"/>
      <c r="M40" s="425"/>
      <c r="N40" s="425"/>
      <c r="O40" s="425"/>
      <c r="P40" s="222"/>
    </row>
    <row r="41" spans="1:16" ht="13.5" customHeight="1">
      <c r="P41" s="222"/>
    </row>
    <row r="42" spans="1:16" ht="17.25" customHeight="1">
      <c r="A42" s="427" t="s">
        <v>1113</v>
      </c>
      <c r="B42" s="427"/>
      <c r="C42" s="427"/>
      <c r="D42" s="427"/>
      <c r="E42" s="427"/>
      <c r="F42" s="427"/>
      <c r="G42" s="427"/>
      <c r="H42" s="427"/>
      <c r="I42" s="427"/>
      <c r="J42" s="427"/>
      <c r="K42" s="427"/>
      <c r="L42" s="427"/>
      <c r="M42" s="427"/>
      <c r="N42" s="427"/>
      <c r="O42" s="427"/>
      <c r="P42" s="427"/>
    </row>
    <row r="43" spans="1:16" ht="5.25" customHeight="1">
      <c r="A43" s="487" t="s">
        <v>1143</v>
      </c>
      <c r="B43" s="487"/>
      <c r="C43" s="487"/>
      <c r="D43" s="487"/>
      <c r="E43" s="487"/>
      <c r="F43" s="487"/>
      <c r="G43" s="487"/>
      <c r="H43" s="487"/>
      <c r="I43" s="487"/>
      <c r="J43" s="487"/>
      <c r="K43" s="487"/>
      <c r="L43" s="487"/>
      <c r="M43" s="487"/>
      <c r="N43" s="487"/>
      <c r="O43" s="487"/>
      <c r="P43" s="487"/>
    </row>
    <row r="44" spans="1:16" ht="18" customHeight="1">
      <c r="A44" s="487"/>
      <c r="B44" s="487"/>
      <c r="C44" s="487"/>
      <c r="D44" s="487"/>
      <c r="E44" s="487"/>
      <c r="F44" s="487"/>
      <c r="G44" s="487"/>
      <c r="H44" s="487"/>
      <c r="I44" s="487"/>
      <c r="J44" s="487"/>
      <c r="K44" s="487"/>
      <c r="L44" s="487"/>
      <c r="M44" s="487"/>
      <c r="N44" s="487"/>
      <c r="O44" s="487"/>
      <c r="P44" s="487"/>
    </row>
    <row r="45" spans="1:16" ht="12" customHeight="1">
      <c r="A45" s="487"/>
      <c r="B45" s="487"/>
      <c r="C45" s="487"/>
      <c r="D45" s="487"/>
      <c r="E45" s="487"/>
      <c r="F45" s="487"/>
      <c r="G45" s="487"/>
      <c r="H45" s="487"/>
      <c r="I45" s="487"/>
      <c r="J45" s="487"/>
      <c r="K45" s="487"/>
      <c r="L45" s="487"/>
      <c r="M45" s="487"/>
      <c r="N45" s="487"/>
      <c r="O45" s="487"/>
      <c r="P45" s="487"/>
    </row>
    <row r="46" spans="1:16" ht="24.75" customHeight="1">
      <c r="A46" s="487"/>
      <c r="B46" s="487"/>
      <c r="C46" s="487"/>
      <c r="D46" s="487"/>
      <c r="E46" s="487"/>
      <c r="F46" s="487"/>
      <c r="G46" s="487"/>
      <c r="H46" s="487"/>
      <c r="I46" s="487"/>
      <c r="J46" s="487"/>
      <c r="K46" s="487"/>
      <c r="L46" s="487"/>
      <c r="M46" s="487"/>
      <c r="N46" s="487"/>
      <c r="O46" s="487"/>
      <c r="P46" s="487"/>
    </row>
    <row r="47" spans="1:16" ht="59.25" customHeight="1">
      <c r="A47" s="487"/>
      <c r="B47" s="487"/>
      <c r="C47" s="487"/>
      <c r="D47" s="487"/>
      <c r="E47" s="487"/>
      <c r="F47" s="487"/>
      <c r="G47" s="487"/>
      <c r="H47" s="487"/>
      <c r="I47" s="487"/>
      <c r="J47" s="487"/>
      <c r="K47" s="487"/>
      <c r="L47" s="487"/>
      <c r="M47" s="487"/>
      <c r="N47" s="487"/>
      <c r="O47" s="487"/>
      <c r="P47" s="487"/>
    </row>
    <row r="48" spans="1:16" ht="22.5" customHeight="1">
      <c r="A48" s="226"/>
      <c r="P48" s="222"/>
    </row>
    <row r="49" spans="1:16" ht="14.25" customHeight="1">
      <c r="A49" s="409" t="s">
        <v>1114</v>
      </c>
      <c r="B49" s="410"/>
      <c r="C49" s="410"/>
      <c r="D49" s="410"/>
      <c r="E49" s="410"/>
      <c r="F49" s="410"/>
      <c r="G49" s="410"/>
      <c r="H49" s="488"/>
      <c r="I49" s="410" t="s">
        <v>1115</v>
      </c>
      <c r="J49" s="410"/>
      <c r="K49" s="410"/>
      <c r="L49" s="410"/>
      <c r="M49" s="410"/>
      <c r="N49" s="410"/>
      <c r="O49" s="410"/>
      <c r="P49" s="488"/>
    </row>
    <row r="50" spans="1:16" ht="17.25" customHeight="1">
      <c r="A50" s="411"/>
      <c r="B50" s="412"/>
      <c r="C50" s="412"/>
      <c r="D50" s="412"/>
      <c r="E50" s="412"/>
      <c r="F50" s="412"/>
      <c r="G50" s="412"/>
      <c r="H50" s="489"/>
      <c r="I50" s="412"/>
      <c r="J50" s="412"/>
      <c r="K50" s="412"/>
      <c r="L50" s="412"/>
      <c r="M50" s="412"/>
      <c r="N50" s="412"/>
      <c r="O50" s="412"/>
      <c r="P50" s="489"/>
    </row>
    <row r="51" spans="1:16" ht="17.25" customHeight="1">
      <c r="A51" s="415" t="s">
        <v>1116</v>
      </c>
      <c r="B51" s="416"/>
      <c r="C51" s="416"/>
      <c r="D51" s="416"/>
      <c r="E51" s="416"/>
      <c r="F51" s="417"/>
      <c r="G51" s="415" t="s">
        <v>1117</v>
      </c>
      <c r="H51" s="417"/>
      <c r="I51" s="244" t="s">
        <v>1118</v>
      </c>
      <c r="J51" s="233" t="s">
        <v>1119</v>
      </c>
      <c r="K51" s="418" t="s">
        <v>1146</v>
      </c>
      <c r="L51" s="419"/>
      <c r="M51" s="419"/>
      <c r="N51" s="419"/>
      <c r="O51" s="419"/>
      <c r="P51" s="420"/>
    </row>
    <row r="52" spans="1:16" s="205" customFormat="1" ht="216" customHeight="1">
      <c r="A52" s="421" t="s">
        <v>1154</v>
      </c>
      <c r="B52" s="422"/>
      <c r="C52" s="422"/>
      <c r="D52" s="422"/>
      <c r="E52" s="422"/>
      <c r="F52" s="423"/>
      <c r="G52" s="370" t="s">
        <v>1148</v>
      </c>
      <c r="H52" s="371"/>
      <c r="I52" s="245">
        <v>42735</v>
      </c>
      <c r="J52" s="247">
        <v>42538</v>
      </c>
      <c r="K52" s="421" t="s">
        <v>1155</v>
      </c>
      <c r="L52" s="422"/>
      <c r="M52" s="422"/>
      <c r="N52" s="422"/>
      <c r="O52" s="422"/>
      <c r="P52" s="423"/>
    </row>
    <row r="53" spans="1:16" s="205" customFormat="1" ht="136.5" customHeight="1">
      <c r="A53" s="492" t="s">
        <v>1156</v>
      </c>
      <c r="B53" s="493"/>
      <c r="C53" s="493"/>
      <c r="D53" s="493"/>
      <c r="E53" s="493"/>
      <c r="F53" s="494"/>
      <c r="G53" s="370" t="s">
        <v>1148</v>
      </c>
      <c r="H53" s="371"/>
      <c r="I53" s="245">
        <v>42464</v>
      </c>
      <c r="J53" s="246">
        <v>42464</v>
      </c>
      <c r="K53" s="492" t="s">
        <v>1157</v>
      </c>
      <c r="L53" s="484"/>
      <c r="M53" s="484"/>
      <c r="N53" s="484"/>
      <c r="O53" s="484"/>
      <c r="P53" s="485"/>
    </row>
    <row r="54" spans="1:16" ht="50.1" customHeight="1">
      <c r="A54" s="483"/>
      <c r="B54" s="484"/>
      <c r="C54" s="484"/>
      <c r="D54" s="484"/>
      <c r="E54" s="484"/>
      <c r="F54" s="485"/>
      <c r="G54" s="370"/>
      <c r="H54" s="371"/>
      <c r="I54" s="217"/>
      <c r="J54" s="236"/>
      <c r="K54" s="455"/>
      <c r="L54" s="486"/>
      <c r="M54" s="486"/>
      <c r="N54" s="486"/>
      <c r="O54" s="486"/>
      <c r="P54" s="456"/>
    </row>
    <row r="55" spans="1:16" ht="35.25" customHeight="1">
      <c r="A55" s="373" t="s">
        <v>1122</v>
      </c>
      <c r="B55" s="373"/>
      <c r="C55" s="367" t="s">
        <v>1158</v>
      </c>
      <c r="D55" s="369"/>
      <c r="E55" s="217" t="s">
        <v>1124</v>
      </c>
      <c r="F55" s="374" t="s">
        <v>1125</v>
      </c>
      <c r="G55" s="375"/>
      <c r="H55" s="237" t="s">
        <v>1150</v>
      </c>
      <c r="I55" s="237" t="s">
        <v>1124</v>
      </c>
      <c r="J55" s="239" t="s">
        <v>1126</v>
      </c>
      <c r="K55" s="471"/>
      <c r="L55" s="472"/>
      <c r="M55" s="472"/>
      <c r="N55" s="472"/>
      <c r="O55" s="472"/>
      <c r="P55" s="473"/>
    </row>
    <row r="56" spans="1:16" ht="17.25" customHeight="1">
      <c r="A56" s="376" t="s">
        <v>1127</v>
      </c>
      <c r="B56" s="377"/>
      <c r="C56" s="377"/>
      <c r="D56" s="377"/>
      <c r="E56" s="377"/>
      <c r="F56" s="377"/>
      <c r="G56" s="377"/>
      <c r="H56" s="378"/>
      <c r="I56" s="379"/>
      <c r="J56" s="380"/>
      <c r="K56" s="380"/>
      <c r="L56" s="380"/>
      <c r="M56" s="380"/>
      <c r="N56" s="380"/>
      <c r="O56" s="380"/>
      <c r="P56" s="381"/>
    </row>
    <row r="57" spans="1:16" ht="45.75" customHeight="1">
      <c r="A57" s="474" t="s">
        <v>1159</v>
      </c>
      <c r="B57" s="475"/>
      <c r="C57" s="475"/>
      <c r="D57" s="475"/>
      <c r="E57" s="475"/>
      <c r="F57" s="475"/>
      <c r="G57" s="475"/>
      <c r="H57" s="476"/>
      <c r="I57" s="382"/>
      <c r="J57" s="383"/>
      <c r="K57" s="383"/>
      <c r="L57" s="383"/>
      <c r="M57" s="383"/>
      <c r="N57" s="383"/>
      <c r="O57" s="383"/>
      <c r="P57" s="384"/>
    </row>
    <row r="58" spans="1:16" ht="48" customHeight="1">
      <c r="A58" s="477"/>
      <c r="B58" s="478"/>
      <c r="C58" s="478"/>
      <c r="D58" s="478"/>
      <c r="E58" s="478"/>
      <c r="F58" s="478"/>
      <c r="G58" s="478"/>
      <c r="H58" s="479"/>
      <c r="I58" s="385"/>
      <c r="J58" s="386"/>
      <c r="K58" s="386"/>
      <c r="L58" s="386"/>
      <c r="M58" s="386"/>
      <c r="N58" s="386"/>
      <c r="O58" s="386"/>
      <c r="P58" s="387"/>
    </row>
    <row r="59" spans="1:16" ht="100.5" customHeight="1">
      <c r="A59" s="480"/>
      <c r="B59" s="481"/>
      <c r="C59" s="481"/>
      <c r="D59" s="481"/>
      <c r="E59" s="481"/>
      <c r="F59" s="481"/>
      <c r="G59" s="481"/>
      <c r="H59" s="482"/>
      <c r="I59" s="397" t="s">
        <v>1128</v>
      </c>
      <c r="J59" s="398"/>
      <c r="K59" s="398"/>
      <c r="L59" s="398"/>
      <c r="M59" s="398"/>
      <c r="N59" s="398"/>
      <c r="O59" s="398"/>
      <c r="P59" s="399"/>
    </row>
    <row r="65" spans="4:4" ht="17.25" customHeight="1">
      <c r="D65" s="206" t="s">
        <v>1129</v>
      </c>
    </row>
  </sheetData>
  <mergeCells count="84">
    <mergeCell ref="Q2:AC2"/>
    <mergeCell ref="AD2:AP2"/>
    <mergeCell ref="AQ2:AU2"/>
    <mergeCell ref="Q3:AC3"/>
    <mergeCell ref="AD3:AP3"/>
    <mergeCell ref="AQ3:AU3"/>
    <mergeCell ref="C4:F4"/>
    <mergeCell ref="G4:L4"/>
    <mergeCell ref="M4:P4"/>
    <mergeCell ref="A1:B4"/>
    <mergeCell ref="J10:P10"/>
    <mergeCell ref="A11:P11"/>
    <mergeCell ref="A12:P12"/>
    <mergeCell ref="A13:P13"/>
    <mergeCell ref="A6:P6"/>
    <mergeCell ref="A7:C7"/>
    <mergeCell ref="D7:E7"/>
    <mergeCell ref="G7:H7"/>
    <mergeCell ref="M7:N7"/>
    <mergeCell ref="O7:P7"/>
    <mergeCell ref="C3:P3"/>
    <mergeCell ref="C1:P1"/>
    <mergeCell ref="C2:P2"/>
    <mergeCell ref="A14:P14"/>
    <mergeCell ref="A15:P15"/>
    <mergeCell ref="A16:P16"/>
    <mergeCell ref="A8:C8"/>
    <mergeCell ref="D8:E8"/>
    <mergeCell ref="G8:P8"/>
    <mergeCell ref="A9:C10"/>
    <mergeCell ref="F9:G9"/>
    <mergeCell ref="J9:K9"/>
    <mergeCell ref="L9:P9"/>
    <mergeCell ref="E10:G10"/>
    <mergeCell ref="H10:I10"/>
    <mergeCell ref="A17:P25"/>
    <mergeCell ref="A26:P26"/>
    <mergeCell ref="A28:G28"/>
    <mergeCell ref="I28:O28"/>
    <mergeCell ref="A29:G29"/>
    <mergeCell ref="I29:O29"/>
    <mergeCell ref="A30:G30"/>
    <mergeCell ref="I30:O30"/>
    <mergeCell ref="A31:G31"/>
    <mergeCell ref="I31:O31"/>
    <mergeCell ref="A32:G32"/>
    <mergeCell ref="I32:O32"/>
    <mergeCell ref="E33:E34"/>
    <mergeCell ref="I33:I34"/>
    <mergeCell ref="E35:E36"/>
    <mergeCell ref="I35:I36"/>
    <mergeCell ref="A37:G37"/>
    <mergeCell ref="I37:O37"/>
    <mergeCell ref="K34:O35"/>
    <mergeCell ref="A38:G38"/>
    <mergeCell ref="I38:O38"/>
    <mergeCell ref="A39:G39"/>
    <mergeCell ref="I39:O39"/>
    <mergeCell ref="A40:G40"/>
    <mergeCell ref="I40:O40"/>
    <mergeCell ref="A42:P42"/>
    <mergeCell ref="A43:P47"/>
    <mergeCell ref="A49:H50"/>
    <mergeCell ref="I49:P50"/>
    <mergeCell ref="A51:F51"/>
    <mergeCell ref="G51:H51"/>
    <mergeCell ref="K51:P51"/>
    <mergeCell ref="A52:F52"/>
    <mergeCell ref="G52:H52"/>
    <mergeCell ref="K52:P52"/>
    <mergeCell ref="A54:F54"/>
    <mergeCell ref="G54:H54"/>
    <mergeCell ref="K54:P54"/>
    <mergeCell ref="A53:F53"/>
    <mergeCell ref="G53:H53"/>
    <mergeCell ref="K53:P53"/>
    <mergeCell ref="F55:G55"/>
    <mergeCell ref="A56:H56"/>
    <mergeCell ref="I56:P58"/>
    <mergeCell ref="A57:H59"/>
    <mergeCell ref="I59:P59"/>
    <mergeCell ref="K55:P55"/>
    <mergeCell ref="A55:B55"/>
    <mergeCell ref="C55:D55"/>
  </mergeCells>
  <pageMargins left="0.7" right="0.7" top="0.75" bottom="0.75" header="0.3" footer="0.3"/>
  <drawing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V66"/>
  <sheetViews>
    <sheetView topLeftCell="A37" workbookViewId="0">
      <selection activeCell="AL21" sqref="AL21:AR40"/>
    </sheetView>
  </sheetViews>
  <sheetFormatPr defaultColWidth="11.42578125" defaultRowHeight="17.25" customHeight="1"/>
  <cols>
    <col min="1" max="1" width="21.85546875" style="206" customWidth="1"/>
    <col min="2" max="2" width="6.85546875" style="206" customWidth="1"/>
    <col min="3" max="3" width="2.85546875" style="206" bestFit="1" customWidth="1"/>
    <col min="4" max="12" width="20.7109375" style="206" customWidth="1"/>
    <col min="13" max="15" width="11.42578125" style="206"/>
    <col min="16" max="16" width="11.28515625" style="206" customWidth="1"/>
    <col min="17" max="32" width="11.42578125" style="205"/>
    <col min="33" max="47" width="1.7109375" style="205" customWidth="1"/>
    <col min="48" max="48" width="11.42578125" style="205"/>
    <col min="49" max="16384" width="11.42578125" style="206"/>
  </cols>
  <sheetData>
    <row r="1" spans="1:48" ht="17.25" customHeight="1">
      <c r="A1" s="464"/>
      <c r="B1" s="465"/>
      <c r="C1" s="457" t="s">
        <v>1073</v>
      </c>
      <c r="D1" s="463"/>
      <c r="E1" s="463"/>
      <c r="F1" s="463"/>
      <c r="G1" s="463"/>
      <c r="H1" s="463"/>
      <c r="I1" s="463"/>
      <c r="J1" s="463"/>
      <c r="K1" s="463"/>
      <c r="L1" s="463"/>
      <c r="M1" s="463"/>
      <c r="N1" s="463"/>
      <c r="O1" s="463"/>
      <c r="P1" s="458"/>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row>
    <row r="2" spans="1:48" ht="17.25" customHeight="1">
      <c r="A2" s="466"/>
      <c r="B2" s="467"/>
      <c r="C2" s="457" t="s">
        <v>1074</v>
      </c>
      <c r="D2" s="463"/>
      <c r="E2" s="463"/>
      <c r="F2" s="463"/>
      <c r="G2" s="463"/>
      <c r="H2" s="463"/>
      <c r="I2" s="463"/>
      <c r="J2" s="463"/>
      <c r="K2" s="463"/>
      <c r="L2" s="463"/>
      <c r="M2" s="463"/>
      <c r="N2" s="463"/>
      <c r="O2" s="463"/>
      <c r="P2" s="458"/>
      <c r="Q2" s="470"/>
      <c r="R2" s="470"/>
      <c r="S2" s="470"/>
      <c r="T2" s="470"/>
      <c r="U2" s="470"/>
      <c r="V2" s="470"/>
      <c r="W2" s="470"/>
      <c r="X2" s="470"/>
      <c r="Y2" s="470"/>
      <c r="Z2" s="470"/>
      <c r="AA2" s="470"/>
      <c r="AB2" s="470"/>
      <c r="AC2" s="470"/>
      <c r="AD2" s="470"/>
      <c r="AE2" s="470"/>
      <c r="AF2" s="470"/>
      <c r="AG2" s="470"/>
      <c r="AH2" s="470"/>
      <c r="AI2" s="470"/>
      <c r="AJ2" s="470"/>
      <c r="AK2" s="470"/>
      <c r="AL2" s="470"/>
      <c r="AM2" s="470"/>
      <c r="AN2" s="470"/>
      <c r="AO2" s="470"/>
      <c r="AP2" s="470"/>
      <c r="AQ2" s="470"/>
      <c r="AR2" s="470"/>
      <c r="AS2" s="470"/>
      <c r="AT2" s="470"/>
      <c r="AU2" s="470"/>
    </row>
    <row r="3" spans="1:48" ht="17.25" customHeight="1">
      <c r="A3" s="466"/>
      <c r="B3" s="467"/>
      <c r="C3" s="457" t="s">
        <v>1075</v>
      </c>
      <c r="D3" s="463"/>
      <c r="E3" s="463"/>
      <c r="F3" s="463"/>
      <c r="G3" s="463"/>
      <c r="H3" s="463"/>
      <c r="I3" s="463"/>
      <c r="J3" s="463"/>
      <c r="K3" s="463"/>
      <c r="L3" s="463"/>
      <c r="M3" s="463"/>
      <c r="N3" s="463"/>
      <c r="O3" s="463"/>
      <c r="P3" s="458"/>
      <c r="Q3" s="470"/>
      <c r="R3" s="470"/>
      <c r="S3" s="470"/>
      <c r="T3" s="470"/>
      <c r="U3" s="470"/>
      <c r="V3" s="470"/>
      <c r="W3" s="470"/>
      <c r="X3" s="470"/>
      <c r="Y3" s="470"/>
      <c r="Z3" s="470"/>
      <c r="AA3" s="470"/>
      <c r="AB3" s="470"/>
      <c r="AC3" s="470"/>
      <c r="AD3" s="470"/>
      <c r="AE3" s="470"/>
      <c r="AF3" s="470"/>
      <c r="AG3" s="470"/>
      <c r="AH3" s="470"/>
      <c r="AI3" s="470"/>
      <c r="AJ3" s="470"/>
      <c r="AK3" s="470"/>
      <c r="AL3" s="470"/>
      <c r="AM3" s="470"/>
      <c r="AN3" s="470"/>
      <c r="AO3" s="470"/>
      <c r="AP3" s="470"/>
      <c r="AQ3" s="470"/>
      <c r="AR3" s="470"/>
      <c r="AS3" s="470"/>
      <c r="AT3" s="470"/>
      <c r="AU3" s="470"/>
    </row>
    <row r="4" spans="1:48" ht="12.75" customHeight="1">
      <c r="A4" s="468"/>
      <c r="B4" s="469"/>
      <c r="C4" s="445" t="s">
        <v>1076</v>
      </c>
      <c r="D4" s="446"/>
      <c r="E4" s="446"/>
      <c r="F4" s="447"/>
      <c r="G4" s="445" t="s">
        <v>1077</v>
      </c>
      <c r="H4" s="446"/>
      <c r="I4" s="446"/>
      <c r="J4" s="446"/>
      <c r="K4" s="446"/>
      <c r="L4" s="447"/>
      <c r="M4" s="457" t="s">
        <v>1078</v>
      </c>
      <c r="N4" s="463"/>
      <c r="O4" s="463"/>
      <c r="P4" s="458"/>
    </row>
    <row r="5" spans="1:48" ht="27" customHeight="1">
      <c r="A5" s="207"/>
      <c r="B5" s="208"/>
      <c r="C5" s="208"/>
      <c r="D5" s="208"/>
      <c r="E5" s="208"/>
      <c r="F5" s="208"/>
      <c r="G5" s="208"/>
      <c r="H5" s="208"/>
      <c r="I5" s="208"/>
      <c r="J5" s="208"/>
      <c r="K5" s="208"/>
      <c r="L5" s="208"/>
      <c r="M5" s="208"/>
      <c r="N5" s="208"/>
      <c r="O5" s="208"/>
      <c r="P5" s="209"/>
    </row>
    <row r="6" spans="1:48" ht="14.25" customHeight="1">
      <c r="A6" s="452" t="s">
        <v>1079</v>
      </c>
      <c r="B6" s="453"/>
      <c r="C6" s="453"/>
      <c r="D6" s="453"/>
      <c r="E6" s="453"/>
      <c r="F6" s="453"/>
      <c r="G6" s="453"/>
      <c r="H6" s="453"/>
      <c r="I6" s="453"/>
      <c r="J6" s="453"/>
      <c r="K6" s="453"/>
      <c r="L6" s="453"/>
      <c r="M6" s="453"/>
      <c r="N6" s="453"/>
      <c r="O6" s="453"/>
      <c r="P6" s="454"/>
      <c r="Q6" s="210"/>
      <c r="R6" s="210"/>
      <c r="S6" s="210"/>
      <c r="T6" s="210"/>
      <c r="U6" s="210"/>
      <c r="V6" s="210"/>
      <c r="W6" s="210"/>
      <c r="X6" s="210"/>
      <c r="Y6" s="210"/>
      <c r="Z6" s="210"/>
      <c r="AA6" s="210"/>
      <c r="AB6" s="210"/>
      <c r="AC6" s="210"/>
      <c r="AD6" s="210"/>
      <c r="AE6" s="210"/>
      <c r="AF6" s="210"/>
      <c r="AG6" s="210"/>
      <c r="AH6" s="210"/>
      <c r="AI6" s="210"/>
      <c r="AJ6" s="210"/>
      <c r="AK6" s="210"/>
      <c r="AL6" s="210"/>
      <c r="AM6" s="210"/>
      <c r="AN6" s="210"/>
      <c r="AO6" s="210"/>
      <c r="AP6" s="210"/>
      <c r="AQ6" s="210"/>
      <c r="AR6" s="210"/>
      <c r="AS6" s="210"/>
      <c r="AT6" s="210"/>
      <c r="AU6" s="210"/>
    </row>
    <row r="7" spans="1:48" ht="41.25" customHeight="1">
      <c r="A7" s="442" t="s">
        <v>1080</v>
      </c>
      <c r="B7" s="443"/>
      <c r="C7" s="444"/>
      <c r="D7" s="457" t="s">
        <v>1130</v>
      </c>
      <c r="E7" s="458"/>
      <c r="F7" s="211" t="s">
        <v>1082</v>
      </c>
      <c r="G7" s="457" t="s">
        <v>1131</v>
      </c>
      <c r="H7" s="458"/>
      <c r="I7" s="212" t="s">
        <v>1084</v>
      </c>
      <c r="J7" s="213" t="s">
        <v>1085</v>
      </c>
      <c r="K7" s="213" t="s">
        <v>1160</v>
      </c>
      <c r="L7" s="203" t="s">
        <v>1161</v>
      </c>
      <c r="M7" s="442" t="s">
        <v>1088</v>
      </c>
      <c r="N7" s="444"/>
      <c r="O7" s="490">
        <v>1</v>
      </c>
      <c r="P7" s="491"/>
      <c r="Q7" s="214"/>
      <c r="R7" s="214"/>
      <c r="U7" s="215"/>
      <c r="V7" s="215"/>
      <c r="W7" s="215"/>
      <c r="X7" s="215"/>
      <c r="Y7" s="215"/>
      <c r="Z7" s="215"/>
      <c r="AA7" s="215"/>
      <c r="AB7" s="215"/>
      <c r="AC7" s="215"/>
      <c r="AD7" s="215"/>
      <c r="AE7" s="215"/>
      <c r="AF7" s="215"/>
      <c r="AG7" s="215"/>
      <c r="AH7" s="215"/>
    </row>
    <row r="8" spans="1:48" ht="33" customHeight="1">
      <c r="A8" s="442" t="s">
        <v>1089</v>
      </c>
      <c r="B8" s="443"/>
      <c r="C8" s="443"/>
      <c r="D8" s="457" t="s">
        <v>1162</v>
      </c>
      <c r="E8" s="458"/>
      <c r="F8" s="216" t="s">
        <v>1090</v>
      </c>
      <c r="G8" s="460" t="s">
        <v>1136</v>
      </c>
      <c r="H8" s="461"/>
      <c r="I8" s="461"/>
      <c r="J8" s="461"/>
      <c r="K8" s="461"/>
      <c r="L8" s="461"/>
      <c r="M8" s="461"/>
      <c r="N8" s="461"/>
      <c r="O8" s="461"/>
      <c r="P8" s="462"/>
      <c r="Q8" s="206"/>
      <c r="R8" s="206"/>
      <c r="S8" s="206"/>
    </row>
    <row r="9" spans="1:48" ht="42.75" customHeight="1">
      <c r="A9" s="448" t="s">
        <v>1091</v>
      </c>
      <c r="B9" s="448"/>
      <c r="C9" s="448"/>
      <c r="D9" s="217" t="s">
        <v>1092</v>
      </c>
      <c r="E9" s="217" t="s">
        <v>1093</v>
      </c>
      <c r="F9" s="367" t="s">
        <v>1163</v>
      </c>
      <c r="G9" s="369"/>
      <c r="H9" s="218" t="s">
        <v>1095</v>
      </c>
      <c r="I9" s="218" t="s">
        <v>1096</v>
      </c>
      <c r="J9" s="425" t="s">
        <v>1097</v>
      </c>
      <c r="K9" s="425"/>
      <c r="L9" s="425" t="s">
        <v>1164</v>
      </c>
      <c r="M9" s="425"/>
      <c r="N9" s="425"/>
      <c r="O9" s="425"/>
      <c r="P9" s="425"/>
      <c r="AU9" s="206"/>
      <c r="AV9" s="206"/>
    </row>
    <row r="10" spans="1:48" ht="32.25" customHeight="1">
      <c r="A10" s="448"/>
      <c r="B10" s="448"/>
      <c r="C10" s="448"/>
      <c r="D10" s="217" t="s">
        <v>1099</v>
      </c>
      <c r="E10" s="367" t="s">
        <v>1100</v>
      </c>
      <c r="F10" s="368"/>
      <c r="G10" s="369"/>
      <c r="H10" s="367" t="s">
        <v>1137</v>
      </c>
      <c r="I10" s="369"/>
      <c r="J10" s="400" t="s">
        <v>1102</v>
      </c>
      <c r="K10" s="401"/>
      <c r="L10" s="401"/>
      <c r="M10" s="401"/>
      <c r="N10" s="401"/>
      <c r="O10" s="401"/>
      <c r="P10" s="402"/>
      <c r="AU10" s="206"/>
      <c r="AV10" s="206"/>
    </row>
    <row r="11" spans="1:48" ht="12.75" customHeight="1">
      <c r="A11" s="442" t="s">
        <v>1103</v>
      </c>
      <c r="B11" s="443"/>
      <c r="C11" s="443"/>
      <c r="D11" s="443"/>
      <c r="E11" s="443"/>
      <c r="F11" s="443"/>
      <c r="G11" s="443"/>
      <c r="H11" s="443"/>
      <c r="I11" s="443"/>
      <c r="J11" s="443"/>
      <c r="K11" s="443"/>
      <c r="L11" s="443"/>
      <c r="M11" s="443"/>
      <c r="N11" s="443"/>
      <c r="O11" s="443"/>
      <c r="P11" s="444"/>
    </row>
    <row r="12" spans="1:48" ht="43.5" customHeight="1">
      <c r="A12" s="449" t="s">
        <v>1165</v>
      </c>
      <c r="B12" s="450"/>
      <c r="C12" s="450"/>
      <c r="D12" s="450"/>
      <c r="E12" s="450"/>
      <c r="F12" s="450"/>
      <c r="G12" s="450"/>
      <c r="H12" s="450"/>
      <c r="I12" s="450"/>
      <c r="J12" s="450"/>
      <c r="K12" s="450"/>
      <c r="L12" s="450"/>
      <c r="M12" s="450"/>
      <c r="N12" s="450"/>
      <c r="O12" s="450"/>
      <c r="P12" s="451"/>
    </row>
    <row r="13" spans="1:48" ht="13.5" customHeight="1">
      <c r="A13" s="442" t="s">
        <v>1104</v>
      </c>
      <c r="B13" s="443"/>
      <c r="C13" s="443"/>
      <c r="D13" s="443"/>
      <c r="E13" s="443"/>
      <c r="F13" s="443"/>
      <c r="G13" s="443"/>
      <c r="H13" s="443"/>
      <c r="I13" s="443"/>
      <c r="J13" s="443"/>
      <c r="K13" s="443"/>
      <c r="L13" s="443"/>
      <c r="M13" s="443"/>
      <c r="N13" s="443"/>
      <c r="O13" s="443"/>
      <c r="P13" s="444"/>
    </row>
    <row r="14" spans="1:48" ht="42" customHeight="1">
      <c r="A14" s="449" t="s">
        <v>1166</v>
      </c>
      <c r="B14" s="450"/>
      <c r="C14" s="450"/>
      <c r="D14" s="450"/>
      <c r="E14" s="450"/>
      <c r="F14" s="450"/>
      <c r="G14" s="450"/>
      <c r="H14" s="450"/>
      <c r="I14" s="450"/>
      <c r="J14" s="450"/>
      <c r="K14" s="450"/>
      <c r="L14" s="450"/>
      <c r="M14" s="450"/>
      <c r="N14" s="450"/>
      <c r="O14" s="450"/>
      <c r="P14" s="451"/>
    </row>
    <row r="15" spans="1:48" ht="13.5" customHeight="1">
      <c r="A15" s="442" t="s">
        <v>1105</v>
      </c>
      <c r="B15" s="443"/>
      <c r="C15" s="443"/>
      <c r="D15" s="443"/>
      <c r="E15" s="443"/>
      <c r="F15" s="443"/>
      <c r="G15" s="443"/>
      <c r="H15" s="443"/>
      <c r="I15" s="443"/>
      <c r="J15" s="443"/>
      <c r="K15" s="443"/>
      <c r="L15" s="443"/>
      <c r="M15" s="443"/>
      <c r="N15" s="443"/>
      <c r="O15" s="443"/>
      <c r="P15" s="444"/>
    </row>
    <row r="16" spans="1:48" ht="13.5" customHeight="1">
      <c r="A16" s="442" t="s">
        <v>1106</v>
      </c>
      <c r="B16" s="443"/>
      <c r="C16" s="443"/>
      <c r="D16" s="443"/>
      <c r="E16" s="443"/>
      <c r="F16" s="443"/>
      <c r="G16" s="443"/>
      <c r="H16" s="443"/>
      <c r="I16" s="443"/>
      <c r="J16" s="443"/>
      <c r="K16" s="443"/>
      <c r="L16" s="443"/>
      <c r="M16" s="443"/>
      <c r="N16" s="443"/>
      <c r="O16" s="443"/>
      <c r="P16" s="444"/>
    </row>
    <row r="17" spans="1:16" ht="13.5" customHeight="1">
      <c r="A17" s="403"/>
      <c r="B17" s="404"/>
      <c r="C17" s="404"/>
      <c r="D17" s="404"/>
      <c r="E17" s="404"/>
      <c r="F17" s="404"/>
      <c r="G17" s="404"/>
      <c r="H17" s="404"/>
      <c r="I17" s="404"/>
      <c r="J17" s="404"/>
      <c r="K17" s="404"/>
      <c r="L17" s="404"/>
      <c r="M17" s="404"/>
      <c r="N17" s="404"/>
      <c r="O17" s="404"/>
      <c r="P17" s="405"/>
    </row>
    <row r="18" spans="1:16" ht="13.5" customHeight="1">
      <c r="A18" s="406"/>
      <c r="B18" s="407"/>
      <c r="C18" s="407"/>
      <c r="D18" s="407"/>
      <c r="E18" s="407"/>
      <c r="F18" s="407"/>
      <c r="G18" s="407"/>
      <c r="H18" s="407"/>
      <c r="I18" s="407"/>
      <c r="J18" s="407"/>
      <c r="K18" s="407"/>
      <c r="L18" s="407"/>
      <c r="M18" s="407"/>
      <c r="N18" s="407"/>
      <c r="O18" s="407"/>
      <c r="P18" s="408"/>
    </row>
    <row r="19" spans="1:16" ht="13.5" customHeight="1">
      <c r="A19" s="406"/>
      <c r="B19" s="407"/>
      <c r="C19" s="407"/>
      <c r="D19" s="407"/>
      <c r="E19" s="407"/>
      <c r="F19" s="407"/>
      <c r="G19" s="407"/>
      <c r="H19" s="407"/>
      <c r="I19" s="407"/>
      <c r="J19" s="407"/>
      <c r="K19" s="407"/>
      <c r="L19" s="407"/>
      <c r="M19" s="407"/>
      <c r="N19" s="407"/>
      <c r="O19" s="407"/>
      <c r="P19" s="408"/>
    </row>
    <row r="20" spans="1:16" ht="13.5" customHeight="1">
      <c r="A20" s="406"/>
      <c r="B20" s="407"/>
      <c r="C20" s="407"/>
      <c r="D20" s="407"/>
      <c r="E20" s="407"/>
      <c r="F20" s="407"/>
      <c r="G20" s="407"/>
      <c r="H20" s="407"/>
      <c r="I20" s="407"/>
      <c r="J20" s="407"/>
      <c r="K20" s="407"/>
      <c r="L20" s="407"/>
      <c r="M20" s="407"/>
      <c r="N20" s="407"/>
      <c r="O20" s="407"/>
      <c r="P20" s="408"/>
    </row>
    <row r="21" spans="1:16" ht="13.5" customHeight="1">
      <c r="A21" s="406"/>
      <c r="B21" s="407"/>
      <c r="C21" s="407"/>
      <c r="D21" s="407"/>
      <c r="E21" s="407"/>
      <c r="F21" s="407"/>
      <c r="G21" s="407"/>
      <c r="H21" s="407"/>
      <c r="I21" s="407"/>
      <c r="J21" s="407"/>
      <c r="K21" s="407"/>
      <c r="L21" s="407"/>
      <c r="M21" s="407"/>
      <c r="N21" s="407"/>
      <c r="O21" s="407"/>
      <c r="P21" s="408"/>
    </row>
    <row r="22" spans="1:16" ht="13.5" customHeight="1">
      <c r="A22" s="406"/>
      <c r="B22" s="407"/>
      <c r="C22" s="407"/>
      <c r="D22" s="407"/>
      <c r="E22" s="407"/>
      <c r="F22" s="407"/>
      <c r="G22" s="407"/>
      <c r="H22" s="407"/>
      <c r="I22" s="407"/>
      <c r="J22" s="407"/>
      <c r="K22" s="407"/>
      <c r="L22" s="407"/>
      <c r="M22" s="407"/>
      <c r="N22" s="407"/>
      <c r="O22" s="407"/>
      <c r="P22" s="408"/>
    </row>
    <row r="23" spans="1:16" ht="13.5" customHeight="1">
      <c r="A23" s="406"/>
      <c r="B23" s="407"/>
      <c r="C23" s="407"/>
      <c r="D23" s="407"/>
      <c r="E23" s="407"/>
      <c r="F23" s="407"/>
      <c r="G23" s="407"/>
      <c r="H23" s="407"/>
      <c r="I23" s="407"/>
      <c r="J23" s="407"/>
      <c r="K23" s="407"/>
      <c r="L23" s="407"/>
      <c r="M23" s="407"/>
      <c r="N23" s="407"/>
      <c r="O23" s="407"/>
      <c r="P23" s="408"/>
    </row>
    <row r="24" spans="1:16" ht="13.5" customHeight="1">
      <c r="A24" s="406"/>
      <c r="B24" s="407"/>
      <c r="C24" s="407"/>
      <c r="D24" s="407"/>
      <c r="E24" s="407"/>
      <c r="F24" s="407"/>
      <c r="G24" s="407"/>
      <c r="H24" s="407"/>
      <c r="I24" s="407"/>
      <c r="J24" s="407"/>
      <c r="K24" s="407"/>
      <c r="L24" s="407"/>
      <c r="M24" s="407"/>
      <c r="N24" s="407"/>
      <c r="O24" s="407"/>
      <c r="P24" s="408"/>
    </row>
    <row r="25" spans="1:16" ht="13.5" customHeight="1">
      <c r="A25" s="445"/>
      <c r="B25" s="446"/>
      <c r="C25" s="446"/>
      <c r="D25" s="446"/>
      <c r="E25" s="446"/>
      <c r="F25" s="446"/>
      <c r="G25" s="446"/>
      <c r="H25" s="446"/>
      <c r="I25" s="446"/>
      <c r="J25" s="446"/>
      <c r="K25" s="446"/>
      <c r="L25" s="446"/>
      <c r="M25" s="446"/>
      <c r="N25" s="446"/>
      <c r="O25" s="446"/>
      <c r="P25" s="447"/>
    </row>
    <row r="26" spans="1:16" ht="13.5" customHeight="1">
      <c r="A26" s="427" t="s">
        <v>1107</v>
      </c>
      <c r="B26" s="427"/>
      <c r="C26" s="427"/>
      <c r="D26" s="427"/>
      <c r="E26" s="427"/>
      <c r="F26" s="427"/>
      <c r="G26" s="427"/>
      <c r="H26" s="427"/>
      <c r="I26" s="427"/>
      <c r="J26" s="427"/>
      <c r="K26" s="427"/>
      <c r="L26" s="427"/>
      <c r="M26" s="427"/>
      <c r="N26" s="427"/>
      <c r="O26" s="427"/>
      <c r="P26" s="427"/>
    </row>
    <row r="27" spans="1:16" ht="13.5" customHeight="1">
      <c r="A27" s="219"/>
      <c r="B27" s="220"/>
      <c r="C27" s="220"/>
      <c r="D27" s="220"/>
      <c r="E27" s="220"/>
      <c r="F27" s="220"/>
      <c r="G27" s="220"/>
      <c r="H27" s="220"/>
      <c r="I27" s="220"/>
      <c r="J27" s="220"/>
      <c r="K27" s="220"/>
      <c r="L27" s="220"/>
      <c r="P27" s="221"/>
    </row>
    <row r="28" spans="1:16" ht="13.5" customHeight="1">
      <c r="A28" s="424" t="s">
        <v>1108</v>
      </c>
      <c r="B28" s="424"/>
      <c r="C28" s="424"/>
      <c r="D28" s="424"/>
      <c r="E28" s="424"/>
      <c r="F28" s="424"/>
      <c r="G28" s="424"/>
      <c r="I28" s="424" t="s">
        <v>1109</v>
      </c>
      <c r="J28" s="424"/>
      <c r="K28" s="424"/>
      <c r="L28" s="424"/>
      <c r="M28" s="424"/>
      <c r="N28" s="424"/>
      <c r="O28" s="424"/>
      <c r="P28" s="222"/>
    </row>
    <row r="29" spans="1:16" ht="28.5" customHeight="1">
      <c r="A29" s="424" t="s">
        <v>1167</v>
      </c>
      <c r="B29" s="424"/>
      <c r="C29" s="424"/>
      <c r="D29" s="424"/>
      <c r="E29" s="424"/>
      <c r="F29" s="424"/>
      <c r="G29" s="424"/>
      <c r="I29" s="425" t="s">
        <v>1168</v>
      </c>
      <c r="J29" s="425"/>
      <c r="K29" s="425"/>
      <c r="L29" s="425"/>
      <c r="M29" s="425"/>
      <c r="N29" s="425"/>
      <c r="O29" s="425"/>
      <c r="P29" s="222"/>
    </row>
    <row r="30" spans="1:16" ht="26.25" customHeight="1">
      <c r="A30" s="424"/>
      <c r="B30" s="424"/>
      <c r="C30" s="424"/>
      <c r="D30" s="424"/>
      <c r="E30" s="424"/>
      <c r="F30" s="424"/>
      <c r="G30" s="424"/>
      <c r="I30" s="425"/>
      <c r="J30" s="425"/>
      <c r="K30" s="425"/>
      <c r="L30" s="425"/>
      <c r="M30" s="425"/>
      <c r="N30" s="425"/>
      <c r="O30" s="425"/>
      <c r="P30" s="222"/>
    </row>
    <row r="31" spans="1:16" ht="30" customHeight="1">
      <c r="A31" s="428"/>
      <c r="B31" s="429"/>
      <c r="C31" s="429"/>
      <c r="D31" s="429"/>
      <c r="E31" s="429"/>
      <c r="F31" s="429"/>
      <c r="G31" s="430"/>
      <c r="I31" s="367"/>
      <c r="J31" s="368"/>
      <c r="K31" s="368"/>
      <c r="L31" s="368"/>
      <c r="M31" s="368"/>
      <c r="N31" s="368"/>
      <c r="O31" s="369"/>
      <c r="P31" s="222"/>
    </row>
    <row r="32" spans="1:16" ht="19.5" customHeight="1">
      <c r="A32" s="424"/>
      <c r="B32" s="424"/>
      <c r="C32" s="424"/>
      <c r="D32" s="424"/>
      <c r="E32" s="424"/>
      <c r="F32" s="424"/>
      <c r="G32" s="424"/>
      <c r="I32" s="425"/>
      <c r="J32" s="425"/>
      <c r="K32" s="425"/>
      <c r="L32" s="425"/>
      <c r="M32" s="425"/>
      <c r="N32" s="425"/>
      <c r="O32" s="425"/>
      <c r="P32" s="222"/>
    </row>
    <row r="33" spans="1:16" ht="20.25" customHeight="1">
      <c r="A33" s="219"/>
      <c r="D33" s="220"/>
      <c r="E33" s="431"/>
      <c r="F33" s="220"/>
      <c r="G33" s="220"/>
      <c r="H33" s="220"/>
      <c r="I33" s="431"/>
      <c r="J33" s="223"/>
      <c r="K33" s="223"/>
      <c r="L33" s="220"/>
      <c r="P33" s="222"/>
    </row>
    <row r="34" spans="1:16" ht="13.5" customHeight="1" thickBot="1">
      <c r="A34" s="219"/>
      <c r="D34" s="220"/>
      <c r="E34" s="432"/>
      <c r="F34" s="224"/>
      <c r="G34" s="224"/>
      <c r="H34" s="224"/>
      <c r="I34" s="433"/>
      <c r="J34" s="223"/>
      <c r="K34" s="427"/>
      <c r="L34" s="427"/>
      <c r="M34" s="427"/>
      <c r="N34" s="427"/>
      <c r="O34" s="427"/>
      <c r="P34" s="222"/>
    </row>
    <row r="35" spans="1:16" ht="35.25" customHeight="1" thickTop="1">
      <c r="A35" s="219"/>
      <c r="B35" s="220"/>
      <c r="E35" s="440"/>
      <c r="F35" s="220"/>
      <c r="I35" s="441"/>
      <c r="J35" s="223"/>
      <c r="K35" s="427"/>
      <c r="L35" s="427"/>
      <c r="M35" s="427"/>
      <c r="N35" s="427"/>
      <c r="O35" s="427"/>
      <c r="P35" s="222"/>
    </row>
    <row r="36" spans="1:16" ht="9.75" customHeight="1">
      <c r="A36" s="219"/>
      <c r="B36" s="220"/>
      <c r="D36" s="220"/>
      <c r="E36" s="440"/>
      <c r="F36" s="220"/>
      <c r="H36" s="220"/>
      <c r="I36" s="440"/>
      <c r="J36" s="223"/>
      <c r="K36" s="223"/>
      <c r="L36" s="220"/>
      <c r="P36" s="222"/>
    </row>
    <row r="37" spans="1:16" ht="24.75" customHeight="1">
      <c r="A37" s="424" t="s">
        <v>1111</v>
      </c>
      <c r="B37" s="424"/>
      <c r="C37" s="424"/>
      <c r="D37" s="424"/>
      <c r="E37" s="424"/>
      <c r="F37" s="424"/>
      <c r="G37" s="424"/>
      <c r="I37" s="424" t="s">
        <v>1112</v>
      </c>
      <c r="J37" s="424"/>
      <c r="K37" s="424"/>
      <c r="L37" s="424"/>
      <c r="M37" s="424"/>
      <c r="N37" s="424"/>
      <c r="O37" s="424"/>
      <c r="P37" s="222"/>
    </row>
    <row r="38" spans="1:16" ht="17.25" customHeight="1">
      <c r="A38" s="425" t="s">
        <v>1169</v>
      </c>
      <c r="B38" s="425"/>
      <c r="C38" s="425"/>
      <c r="D38" s="425"/>
      <c r="E38" s="425"/>
      <c r="F38" s="425"/>
      <c r="G38" s="425"/>
      <c r="I38" s="425" t="s">
        <v>1170</v>
      </c>
      <c r="J38" s="425"/>
      <c r="K38" s="425"/>
      <c r="L38" s="425"/>
      <c r="M38" s="425"/>
      <c r="N38" s="425"/>
      <c r="O38" s="425"/>
      <c r="P38" s="222"/>
    </row>
    <row r="39" spans="1:16" ht="17.25" customHeight="1">
      <c r="A39" s="426"/>
      <c r="B39" s="426"/>
      <c r="C39" s="426"/>
      <c r="D39" s="426"/>
      <c r="E39" s="426"/>
      <c r="F39" s="426"/>
      <c r="G39" s="426"/>
      <c r="I39" s="425"/>
      <c r="J39" s="425"/>
      <c r="K39" s="425"/>
      <c r="L39" s="425"/>
      <c r="M39" s="425"/>
      <c r="N39" s="425"/>
      <c r="O39" s="425"/>
      <c r="P39" s="222"/>
    </row>
    <row r="40" spans="1:16" ht="17.25" customHeight="1">
      <c r="A40" s="426"/>
      <c r="B40" s="426"/>
      <c r="C40" s="426"/>
      <c r="D40" s="426"/>
      <c r="E40" s="426"/>
      <c r="F40" s="426"/>
      <c r="G40" s="426"/>
      <c r="I40" s="425"/>
      <c r="J40" s="425"/>
      <c r="K40" s="425"/>
      <c r="L40" s="425"/>
      <c r="M40" s="425"/>
      <c r="N40" s="425"/>
      <c r="O40" s="425"/>
      <c r="P40" s="222"/>
    </row>
    <row r="41" spans="1:16" ht="13.5" customHeight="1">
      <c r="P41" s="222"/>
    </row>
    <row r="42" spans="1:16" ht="17.25" customHeight="1">
      <c r="A42" s="427" t="s">
        <v>1113</v>
      </c>
      <c r="B42" s="427"/>
      <c r="C42" s="427"/>
      <c r="D42" s="427"/>
      <c r="E42" s="427"/>
      <c r="F42" s="427"/>
      <c r="G42" s="427"/>
      <c r="H42" s="427"/>
      <c r="I42" s="427"/>
      <c r="J42" s="427"/>
      <c r="K42" s="427"/>
      <c r="L42" s="427"/>
      <c r="M42" s="427"/>
      <c r="N42" s="427"/>
      <c r="O42" s="427"/>
      <c r="P42" s="427"/>
    </row>
    <row r="43" spans="1:16" ht="5.25" customHeight="1">
      <c r="A43" s="487" t="s">
        <v>1171</v>
      </c>
      <c r="B43" s="487"/>
      <c r="C43" s="487"/>
      <c r="D43" s="487"/>
      <c r="E43" s="487"/>
      <c r="F43" s="487"/>
      <c r="G43" s="487"/>
      <c r="H43" s="487"/>
      <c r="I43" s="487"/>
      <c r="J43" s="487"/>
      <c r="K43" s="487"/>
      <c r="L43" s="487"/>
      <c r="M43" s="487"/>
      <c r="N43" s="487"/>
      <c r="O43" s="487"/>
      <c r="P43" s="487"/>
    </row>
    <row r="44" spans="1:16" ht="18" customHeight="1">
      <c r="A44" s="487"/>
      <c r="B44" s="487"/>
      <c r="C44" s="487"/>
      <c r="D44" s="487"/>
      <c r="E44" s="487"/>
      <c r="F44" s="487"/>
      <c r="G44" s="487"/>
      <c r="H44" s="487"/>
      <c r="I44" s="487"/>
      <c r="J44" s="487"/>
      <c r="K44" s="487"/>
      <c r="L44" s="487"/>
      <c r="M44" s="487"/>
      <c r="N44" s="487"/>
      <c r="O44" s="487"/>
      <c r="P44" s="487"/>
    </row>
    <row r="45" spans="1:16" ht="12" customHeight="1">
      <c r="A45" s="487"/>
      <c r="B45" s="487"/>
      <c r="C45" s="487"/>
      <c r="D45" s="487"/>
      <c r="E45" s="487"/>
      <c r="F45" s="487"/>
      <c r="G45" s="487"/>
      <c r="H45" s="487"/>
      <c r="I45" s="487"/>
      <c r="J45" s="487"/>
      <c r="K45" s="487"/>
      <c r="L45" s="487"/>
      <c r="M45" s="487"/>
      <c r="N45" s="487"/>
      <c r="O45" s="487"/>
      <c r="P45" s="487"/>
    </row>
    <row r="46" spans="1:16" ht="24.75" customHeight="1">
      <c r="A46" s="487"/>
      <c r="B46" s="487"/>
      <c r="C46" s="487"/>
      <c r="D46" s="487"/>
      <c r="E46" s="487"/>
      <c r="F46" s="487"/>
      <c r="G46" s="487"/>
      <c r="H46" s="487"/>
      <c r="I46" s="487"/>
      <c r="J46" s="487"/>
      <c r="K46" s="487"/>
      <c r="L46" s="487"/>
      <c r="M46" s="487"/>
      <c r="N46" s="487"/>
      <c r="O46" s="487"/>
      <c r="P46" s="487"/>
    </row>
    <row r="47" spans="1:16" ht="59.25" customHeight="1">
      <c r="A47" s="487"/>
      <c r="B47" s="487"/>
      <c r="C47" s="487"/>
      <c r="D47" s="487"/>
      <c r="E47" s="487"/>
      <c r="F47" s="487"/>
      <c r="G47" s="487"/>
      <c r="H47" s="487"/>
      <c r="I47" s="487"/>
      <c r="J47" s="487"/>
      <c r="K47" s="487"/>
      <c r="L47" s="487"/>
      <c r="M47" s="487"/>
      <c r="N47" s="487"/>
      <c r="O47" s="487"/>
      <c r="P47" s="487"/>
    </row>
    <row r="48" spans="1:16" ht="22.5" customHeight="1">
      <c r="A48" s="226"/>
      <c r="P48" s="222"/>
    </row>
    <row r="49" spans="1:16" ht="14.25" customHeight="1">
      <c r="A49" s="409" t="s">
        <v>1114</v>
      </c>
      <c r="B49" s="410"/>
      <c r="C49" s="410"/>
      <c r="D49" s="410"/>
      <c r="E49" s="410"/>
      <c r="F49" s="410"/>
      <c r="G49" s="410"/>
      <c r="H49" s="488"/>
      <c r="I49" s="410" t="s">
        <v>1115</v>
      </c>
      <c r="J49" s="410"/>
      <c r="K49" s="410"/>
      <c r="L49" s="410"/>
      <c r="M49" s="410"/>
      <c r="N49" s="410"/>
      <c r="O49" s="410"/>
      <c r="P49" s="488"/>
    </row>
    <row r="50" spans="1:16" ht="17.25" customHeight="1">
      <c r="A50" s="411"/>
      <c r="B50" s="412"/>
      <c r="C50" s="412"/>
      <c r="D50" s="412"/>
      <c r="E50" s="412"/>
      <c r="F50" s="412"/>
      <c r="G50" s="412"/>
      <c r="H50" s="489"/>
      <c r="I50" s="412"/>
      <c r="J50" s="412"/>
      <c r="K50" s="412"/>
      <c r="L50" s="412"/>
      <c r="M50" s="412"/>
      <c r="N50" s="412"/>
      <c r="O50" s="412"/>
      <c r="P50" s="489"/>
    </row>
    <row r="51" spans="1:16" ht="17.25" customHeight="1">
      <c r="A51" s="415" t="s">
        <v>1116</v>
      </c>
      <c r="B51" s="416"/>
      <c r="C51" s="416"/>
      <c r="D51" s="416"/>
      <c r="E51" s="416"/>
      <c r="F51" s="417"/>
      <c r="G51" s="415" t="s">
        <v>1117</v>
      </c>
      <c r="H51" s="417"/>
      <c r="I51" s="244" t="s">
        <v>1118</v>
      </c>
      <c r="J51" s="233" t="s">
        <v>1119</v>
      </c>
      <c r="K51" s="418" t="s">
        <v>1146</v>
      </c>
      <c r="L51" s="419"/>
      <c r="M51" s="419"/>
      <c r="N51" s="419"/>
      <c r="O51" s="419"/>
      <c r="P51" s="420"/>
    </row>
    <row r="52" spans="1:16" s="205" customFormat="1" ht="38.25" customHeight="1">
      <c r="A52" s="421" t="s">
        <v>1172</v>
      </c>
      <c r="B52" s="422"/>
      <c r="C52" s="422"/>
      <c r="D52" s="422"/>
      <c r="E52" s="422"/>
      <c r="F52" s="423"/>
      <c r="G52" s="370" t="s">
        <v>1173</v>
      </c>
      <c r="H52" s="371"/>
      <c r="I52" s="245">
        <v>42487</v>
      </c>
      <c r="J52" s="245">
        <v>42483</v>
      </c>
      <c r="K52" s="421" t="s">
        <v>1174</v>
      </c>
      <c r="L52" s="422"/>
      <c r="M52" s="422"/>
      <c r="N52" s="422"/>
      <c r="O52" s="422"/>
      <c r="P52" s="423"/>
    </row>
    <row r="53" spans="1:16" s="205" customFormat="1" ht="31.5" customHeight="1">
      <c r="A53" s="492"/>
      <c r="B53" s="484"/>
      <c r="C53" s="484"/>
      <c r="D53" s="484"/>
      <c r="E53" s="484"/>
      <c r="F53" s="485"/>
      <c r="G53" s="370"/>
      <c r="H53" s="371"/>
      <c r="I53" s="217"/>
      <c r="J53" s="236"/>
      <c r="K53" s="455"/>
      <c r="L53" s="486"/>
      <c r="M53" s="486"/>
      <c r="N53" s="486"/>
      <c r="O53" s="486"/>
      <c r="P53" s="456"/>
    </row>
    <row r="54" spans="1:16" s="205" customFormat="1" ht="30.75" customHeight="1">
      <c r="A54" s="492"/>
      <c r="B54" s="484"/>
      <c r="C54" s="484"/>
      <c r="D54" s="484"/>
      <c r="E54" s="484"/>
      <c r="F54" s="485"/>
      <c r="G54" s="370"/>
      <c r="H54" s="371"/>
      <c r="I54" s="217"/>
      <c r="J54" s="236"/>
      <c r="K54" s="455"/>
      <c r="L54" s="486"/>
      <c r="M54" s="486"/>
      <c r="N54" s="486"/>
      <c r="O54" s="486"/>
      <c r="P54" s="456"/>
    </row>
    <row r="55" spans="1:16" ht="33.75" customHeight="1">
      <c r="A55" s="492"/>
      <c r="B55" s="484"/>
      <c r="C55" s="484"/>
      <c r="D55" s="484"/>
      <c r="E55" s="484"/>
      <c r="F55" s="485"/>
      <c r="G55" s="370"/>
      <c r="H55" s="371"/>
      <c r="I55" s="217"/>
      <c r="J55" s="236"/>
      <c r="K55" s="455"/>
      <c r="L55" s="486"/>
      <c r="M55" s="486"/>
      <c r="N55" s="486"/>
      <c r="O55" s="486"/>
      <c r="P55" s="456"/>
    </row>
    <row r="56" spans="1:16" ht="35.25" customHeight="1">
      <c r="A56" s="373" t="s">
        <v>1122</v>
      </c>
      <c r="B56" s="373"/>
      <c r="C56" s="367" t="s">
        <v>1123</v>
      </c>
      <c r="D56" s="369"/>
      <c r="E56" s="217" t="s">
        <v>1124</v>
      </c>
      <c r="F56" s="374" t="s">
        <v>1125</v>
      </c>
      <c r="G56" s="375"/>
      <c r="H56" s="237" t="s">
        <v>1150</v>
      </c>
      <c r="I56" s="237" t="s">
        <v>1124</v>
      </c>
      <c r="J56" s="239" t="s">
        <v>1126</v>
      </c>
      <c r="K56" s="471"/>
      <c r="L56" s="472"/>
      <c r="M56" s="472"/>
      <c r="N56" s="472"/>
      <c r="O56" s="472"/>
      <c r="P56" s="473"/>
    </row>
    <row r="57" spans="1:16" ht="17.25" customHeight="1">
      <c r="A57" s="376" t="s">
        <v>1127</v>
      </c>
      <c r="B57" s="377"/>
      <c r="C57" s="377"/>
      <c r="D57" s="377"/>
      <c r="E57" s="377"/>
      <c r="F57" s="377"/>
      <c r="G57" s="377"/>
      <c r="H57" s="378"/>
      <c r="I57" s="379"/>
      <c r="J57" s="380"/>
      <c r="K57" s="380"/>
      <c r="L57" s="380"/>
      <c r="M57" s="380"/>
      <c r="N57" s="380"/>
      <c r="O57" s="380"/>
      <c r="P57" s="381"/>
    </row>
    <row r="58" spans="1:16" ht="45.75" customHeight="1">
      <c r="A58" s="474"/>
      <c r="B58" s="475"/>
      <c r="C58" s="475"/>
      <c r="D58" s="475"/>
      <c r="E58" s="475"/>
      <c r="F58" s="475"/>
      <c r="G58" s="475"/>
      <c r="H58" s="476"/>
      <c r="I58" s="382"/>
      <c r="J58" s="383"/>
      <c r="K58" s="383"/>
      <c r="L58" s="383"/>
      <c r="M58" s="383"/>
      <c r="N58" s="383"/>
      <c r="O58" s="383"/>
      <c r="P58" s="384"/>
    </row>
    <row r="59" spans="1:16" ht="48" customHeight="1">
      <c r="A59" s="477"/>
      <c r="B59" s="478"/>
      <c r="C59" s="478"/>
      <c r="D59" s="478"/>
      <c r="E59" s="478"/>
      <c r="F59" s="478"/>
      <c r="G59" s="478"/>
      <c r="H59" s="479"/>
      <c r="I59" s="385"/>
      <c r="J59" s="386"/>
      <c r="K59" s="386"/>
      <c r="L59" s="386"/>
      <c r="M59" s="386"/>
      <c r="N59" s="386"/>
      <c r="O59" s="386"/>
      <c r="P59" s="387"/>
    </row>
    <row r="60" spans="1:16" ht="100.5" customHeight="1">
      <c r="A60" s="480"/>
      <c r="B60" s="481"/>
      <c r="C60" s="481"/>
      <c r="D60" s="481"/>
      <c r="E60" s="481"/>
      <c r="F60" s="481"/>
      <c r="G60" s="481"/>
      <c r="H60" s="482"/>
      <c r="I60" s="397" t="s">
        <v>1128</v>
      </c>
      <c r="J60" s="398"/>
      <c r="K60" s="398"/>
      <c r="L60" s="398"/>
      <c r="M60" s="398"/>
      <c r="N60" s="398"/>
      <c r="O60" s="398"/>
      <c r="P60" s="399"/>
    </row>
    <row r="66" spans="4:4" ht="17.25" customHeight="1">
      <c r="D66" s="206" t="s">
        <v>1129</v>
      </c>
    </row>
  </sheetData>
  <mergeCells count="87">
    <mergeCell ref="A14:P14"/>
    <mergeCell ref="AQ2:AU2"/>
    <mergeCell ref="C3:P3"/>
    <mergeCell ref="Q3:AC3"/>
    <mergeCell ref="AD3:AP3"/>
    <mergeCell ref="AQ3:AU3"/>
    <mergeCell ref="A1:B4"/>
    <mergeCell ref="C1:P1"/>
    <mergeCell ref="C2:P2"/>
    <mergeCell ref="Q2:AC2"/>
    <mergeCell ref="AD2:AP2"/>
    <mergeCell ref="H10:I10"/>
    <mergeCell ref="J10:P10"/>
    <mergeCell ref="A11:P11"/>
    <mergeCell ref="A12:P12"/>
    <mergeCell ref="A13:P13"/>
    <mergeCell ref="C4:F4"/>
    <mergeCell ref="G4:L4"/>
    <mergeCell ref="M4:P4"/>
    <mergeCell ref="A6:P6"/>
    <mergeCell ref="A7:C7"/>
    <mergeCell ref="D7:E7"/>
    <mergeCell ref="G7:H7"/>
    <mergeCell ref="M7:N7"/>
    <mergeCell ref="O7:P7"/>
    <mergeCell ref="I29:O29"/>
    <mergeCell ref="A16:P16"/>
    <mergeCell ref="A8:C8"/>
    <mergeCell ref="D8:E8"/>
    <mergeCell ref="G8:P8"/>
    <mergeCell ref="A9:C10"/>
    <mergeCell ref="F9:G9"/>
    <mergeCell ref="J9:K9"/>
    <mergeCell ref="L9:P9"/>
    <mergeCell ref="E10:G10"/>
    <mergeCell ref="A17:P25"/>
    <mergeCell ref="A26:P26"/>
    <mergeCell ref="A28:G28"/>
    <mergeCell ref="I28:O28"/>
    <mergeCell ref="A29:G29"/>
    <mergeCell ref="A15:P15"/>
    <mergeCell ref="E33:E34"/>
    <mergeCell ref="I33:I34"/>
    <mergeCell ref="K34:O35"/>
    <mergeCell ref="E35:E36"/>
    <mergeCell ref="I35:I36"/>
    <mergeCell ref="A42:P42"/>
    <mergeCell ref="A43:P47"/>
    <mergeCell ref="A37:G37"/>
    <mergeCell ref="I37:O37"/>
    <mergeCell ref="A30:G30"/>
    <mergeCell ref="I30:O30"/>
    <mergeCell ref="A31:G31"/>
    <mergeCell ref="I31:O31"/>
    <mergeCell ref="A32:G32"/>
    <mergeCell ref="I32:O32"/>
    <mergeCell ref="A38:G38"/>
    <mergeCell ref="I38:O38"/>
    <mergeCell ref="A39:G39"/>
    <mergeCell ref="I39:O39"/>
    <mergeCell ref="A40:G40"/>
    <mergeCell ref="I40:O40"/>
    <mergeCell ref="A49:H50"/>
    <mergeCell ref="I49:P50"/>
    <mergeCell ref="A51:F51"/>
    <mergeCell ref="G51:H51"/>
    <mergeCell ref="K51:P51"/>
    <mergeCell ref="K52:P52"/>
    <mergeCell ref="A52:F52"/>
    <mergeCell ref="G52:H52"/>
    <mergeCell ref="A55:F55"/>
    <mergeCell ref="G55:H55"/>
    <mergeCell ref="K55:P55"/>
    <mergeCell ref="A53:F53"/>
    <mergeCell ref="G53:H53"/>
    <mergeCell ref="K53:P53"/>
    <mergeCell ref="A54:F54"/>
    <mergeCell ref="G54:H54"/>
    <mergeCell ref="K54:P54"/>
    <mergeCell ref="A56:B56"/>
    <mergeCell ref="C56:D56"/>
    <mergeCell ref="F56:G56"/>
    <mergeCell ref="K56:P56"/>
    <mergeCell ref="A57:H57"/>
    <mergeCell ref="I57:P59"/>
    <mergeCell ref="A58:H60"/>
    <mergeCell ref="I60:P60"/>
  </mergeCells>
  <pageMargins left="0.7" right="0.7" top="0.75" bottom="0.75" header="0.3" footer="0.3"/>
  <drawing r:id="rId1"/>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C4"/>
  <sheetViews>
    <sheetView workbookViewId="0">
      <selection activeCell="I56" sqref="I56:P58"/>
    </sheetView>
  </sheetViews>
  <sheetFormatPr defaultRowHeight="12.75"/>
  <cols>
    <col min="1" max="1" width="25" customWidth="1"/>
    <col min="2" max="2" width="7.5703125" customWidth="1"/>
    <col min="3" max="256" width="11.42578125" customWidth="1"/>
  </cols>
  <sheetData>
    <row r="1" spans="1:3">
      <c r="A1" s="187" t="s">
        <v>1175</v>
      </c>
      <c r="B1" s="248" t="s">
        <v>35</v>
      </c>
    </row>
    <row r="2" spans="1:3" ht="26.25" customHeight="1">
      <c r="A2" s="179" t="s">
        <v>1176</v>
      </c>
      <c r="B2" s="249">
        <v>0.24</v>
      </c>
      <c r="C2" t="s">
        <v>1177</v>
      </c>
    </row>
    <row r="3" spans="1:3">
      <c r="A3" s="187" t="s">
        <v>1178</v>
      </c>
      <c r="B3" s="249">
        <v>0.46</v>
      </c>
      <c r="C3" t="s">
        <v>1179</v>
      </c>
    </row>
    <row r="4" spans="1:3" ht="44.25" customHeight="1">
      <c r="A4" s="187" t="s">
        <v>1180</v>
      </c>
      <c r="B4" s="249">
        <v>0.31</v>
      </c>
      <c r="C4" t="s">
        <v>1181</v>
      </c>
    </row>
  </sheetData>
  <pageMargins left="0.7" right="0.7" top="0.75" bottom="0.75" header="0.3" footer="0.3"/>
  <pageSetup paperSize="9" orientation="portrait" verticalDpi="599"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5"/>
  <sheetViews>
    <sheetView showGridLines="0" topLeftCell="B1" zoomScale="130" zoomScaleNormal="130" workbookViewId="0">
      <pane ySplit="8" topLeftCell="A9" activePane="bottomLeft" state="frozen"/>
      <selection pane="bottomLeft" activeCell="J12" sqref="J12:U14"/>
      <selection activeCell="J12" sqref="J12:U14"/>
    </sheetView>
  </sheetViews>
  <sheetFormatPr defaultColWidth="11.42578125" defaultRowHeight="12.75"/>
  <cols>
    <col min="1" max="1" width="3" style="1" bestFit="1" customWidth="1"/>
    <col min="2" max="2" width="12" style="1" bestFit="1" customWidth="1"/>
    <col min="3" max="4" width="15" style="1" customWidth="1"/>
    <col min="5" max="5" width="15" style="54" customWidth="1"/>
    <col min="6" max="6" width="15" style="1" customWidth="1"/>
    <col min="7" max="7" width="15" style="54" customWidth="1"/>
    <col min="8" max="8" width="2.5703125" style="1" customWidth="1"/>
    <col min="9" max="9" width="15.85546875" style="1" customWidth="1"/>
    <col min="10" max="10" width="26.28515625" style="1" customWidth="1"/>
    <col min="11" max="11" width="40.85546875" style="1" customWidth="1"/>
    <col min="12" max="12" width="10.7109375" style="35" customWidth="1"/>
    <col min="13" max="13" width="10.5703125" style="35" customWidth="1"/>
    <col min="14" max="14" width="38.7109375" style="1" customWidth="1"/>
    <col min="15" max="16" width="11.85546875" style="1" customWidth="1"/>
    <col min="17" max="17" width="13.28515625" style="1" customWidth="1"/>
    <col min="18" max="18" width="13.5703125" style="35" customWidth="1"/>
    <col min="19" max="19" width="13.5703125" style="1" customWidth="1"/>
    <col min="20" max="20" width="14.7109375" style="35" customWidth="1"/>
    <col min="21" max="21" width="13.42578125" style="35" bestFit="1" customWidth="1"/>
    <col min="22" max="22" width="2.7109375" style="1" customWidth="1"/>
    <col min="23" max="25" width="23" style="1" customWidth="1"/>
    <col min="26" max="26" width="3.140625" style="1" customWidth="1"/>
    <col min="27" max="16384" width="11.42578125" style="1"/>
  </cols>
  <sheetData>
    <row r="1" spans="1:26" s="10" customFormat="1" ht="13.5" thickBot="1">
      <c r="A1" s="2"/>
      <c r="B1" s="2"/>
      <c r="C1" s="2"/>
      <c r="D1" s="2"/>
      <c r="E1" s="4"/>
      <c r="F1" s="2"/>
      <c r="G1" s="4"/>
      <c r="H1" s="2"/>
      <c r="I1" s="2"/>
      <c r="J1" s="3"/>
      <c r="K1" s="2"/>
      <c r="L1" s="55"/>
      <c r="M1" s="55"/>
      <c r="N1" s="2"/>
      <c r="O1" s="2"/>
      <c r="P1" s="4"/>
      <c r="Q1" s="2"/>
      <c r="R1" s="30"/>
      <c r="S1" s="2"/>
      <c r="T1" s="30"/>
      <c r="U1" s="2"/>
      <c r="V1" s="2"/>
      <c r="W1" s="2"/>
      <c r="X1" s="2"/>
      <c r="Y1" s="2"/>
      <c r="Z1" s="2"/>
    </row>
    <row r="2" spans="1:26" s="10" customFormat="1">
      <c r="A2" s="2"/>
      <c r="B2" s="5"/>
      <c r="C2" s="18"/>
      <c r="D2" s="18"/>
      <c r="E2" s="52"/>
      <c r="F2" s="18"/>
      <c r="G2" s="52"/>
      <c r="H2" s="47"/>
      <c r="I2" s="18"/>
      <c r="J2" s="286" t="s">
        <v>0</v>
      </c>
      <c r="K2" s="286"/>
      <c r="L2" s="286"/>
      <c r="M2" s="56"/>
      <c r="N2" s="6"/>
      <c r="O2" s="16"/>
      <c r="P2" s="7"/>
      <c r="Q2" s="6"/>
      <c r="R2" s="31"/>
      <c r="S2" s="6"/>
      <c r="T2" s="31"/>
      <c r="U2" s="16"/>
      <c r="V2" s="7"/>
      <c r="W2" s="6"/>
      <c r="X2" s="6"/>
      <c r="Y2" s="24"/>
      <c r="Z2" s="2"/>
    </row>
    <row r="3" spans="1:26" s="10" customFormat="1">
      <c r="A3" s="2"/>
      <c r="B3" s="8"/>
      <c r="C3" s="9"/>
      <c r="D3" s="9"/>
      <c r="E3" s="9"/>
      <c r="F3" s="9"/>
      <c r="G3" s="9"/>
      <c r="H3" s="40"/>
      <c r="I3" s="9"/>
      <c r="J3" s="287"/>
      <c r="K3" s="287"/>
      <c r="L3" s="287"/>
      <c r="M3" s="57"/>
      <c r="P3" s="11"/>
      <c r="R3" s="92"/>
      <c r="T3" s="32"/>
      <c r="U3" s="17"/>
      <c r="V3" s="11"/>
      <c r="W3" s="12"/>
      <c r="X3" s="12"/>
      <c r="Y3" s="25"/>
      <c r="Z3" s="2"/>
    </row>
    <row r="4" spans="1:26" s="10" customFormat="1">
      <c r="A4" s="2"/>
      <c r="B4" s="13"/>
      <c r="C4" s="14"/>
      <c r="D4" s="14"/>
      <c r="E4" s="9"/>
      <c r="F4" s="14"/>
      <c r="G4" s="9"/>
      <c r="H4" s="39"/>
      <c r="I4" s="14"/>
      <c r="J4" s="287"/>
      <c r="K4" s="287"/>
      <c r="L4" s="287"/>
      <c r="M4" s="58"/>
      <c r="N4" s="12"/>
      <c r="O4" s="12"/>
      <c r="P4" s="17"/>
      <c r="Q4" s="12"/>
      <c r="R4" s="32"/>
      <c r="S4" s="12"/>
      <c r="T4" s="32"/>
      <c r="U4" s="23"/>
      <c r="V4" s="46"/>
      <c r="W4" s="12"/>
      <c r="X4" s="12"/>
      <c r="Y4" s="25"/>
      <c r="Z4" s="2"/>
    </row>
    <row r="5" spans="1:26" s="10" customFormat="1" ht="24" thickBot="1">
      <c r="A5" s="2"/>
      <c r="B5" s="48"/>
      <c r="C5" s="19"/>
      <c r="D5" s="19"/>
      <c r="E5" s="53"/>
      <c r="F5" s="19"/>
      <c r="G5" s="53"/>
      <c r="H5" s="49"/>
      <c r="I5" s="38"/>
      <c r="J5" s="288"/>
      <c r="K5" s="288"/>
      <c r="L5" s="288"/>
      <c r="M5" s="105"/>
      <c r="N5" s="19"/>
      <c r="O5" s="19"/>
      <c r="P5" s="19"/>
      <c r="Q5" s="19"/>
      <c r="R5" s="33"/>
      <c r="S5" s="19"/>
      <c r="T5" s="33"/>
      <c r="U5" s="19"/>
      <c r="V5" s="49"/>
      <c r="W5" s="26"/>
      <c r="X5" s="26"/>
      <c r="Y5" s="27"/>
      <c r="Z5" s="2"/>
    </row>
    <row r="6" spans="1:26" s="10" customFormat="1" ht="13.5" thickBot="1">
      <c r="A6" s="2"/>
      <c r="B6" s="2"/>
      <c r="C6" s="2"/>
      <c r="D6" s="2"/>
      <c r="E6" s="4"/>
      <c r="F6" s="2"/>
      <c r="G6" s="4"/>
      <c r="H6" s="2"/>
      <c r="I6" s="2"/>
      <c r="J6" s="2"/>
      <c r="K6" s="2"/>
      <c r="L6" s="55"/>
      <c r="M6" s="55"/>
      <c r="N6" s="2"/>
      <c r="O6" s="2"/>
      <c r="P6" s="2"/>
      <c r="Q6" s="2"/>
      <c r="R6" s="30"/>
      <c r="S6" s="2"/>
      <c r="T6" s="2"/>
      <c r="U6" s="2"/>
      <c r="V6" s="2"/>
      <c r="W6" s="2"/>
      <c r="X6" s="2"/>
      <c r="Y6" s="2"/>
      <c r="Z6" s="2"/>
    </row>
    <row r="7" spans="1:26" s="10" customFormat="1" ht="13.5" thickBot="1">
      <c r="A7" s="2"/>
      <c r="B7" s="289" t="s">
        <v>1</v>
      </c>
      <c r="C7" s="290"/>
      <c r="D7" s="290"/>
      <c r="E7" s="290"/>
      <c r="F7" s="290"/>
      <c r="G7" s="291"/>
      <c r="H7" s="2"/>
      <c r="I7" s="292" t="s">
        <v>2</v>
      </c>
      <c r="J7" s="293"/>
      <c r="K7" s="293"/>
      <c r="L7" s="294"/>
      <c r="M7" s="294"/>
      <c r="N7" s="293"/>
      <c r="O7" s="293"/>
      <c r="P7" s="293"/>
      <c r="Q7" s="293"/>
      <c r="R7" s="293"/>
      <c r="S7" s="293"/>
      <c r="T7" s="293"/>
      <c r="U7" s="295"/>
      <c r="V7" s="2"/>
      <c r="W7" s="292" t="s">
        <v>3</v>
      </c>
      <c r="X7" s="293"/>
      <c r="Y7" s="296"/>
      <c r="Z7" s="2"/>
    </row>
    <row r="8" spans="1:26" ht="38.25">
      <c r="A8" s="2"/>
      <c r="B8" s="44" t="s">
        <v>4</v>
      </c>
      <c r="C8" s="36" t="s">
        <v>5</v>
      </c>
      <c r="D8" s="36" t="s">
        <v>6</v>
      </c>
      <c r="E8" s="36" t="s">
        <v>7</v>
      </c>
      <c r="F8" s="36" t="s">
        <v>8</v>
      </c>
      <c r="G8" s="36" t="s">
        <v>9</v>
      </c>
      <c r="H8" s="2"/>
      <c r="I8" s="44" t="s">
        <v>10</v>
      </c>
      <c r="J8" s="37" t="s">
        <v>11</v>
      </c>
      <c r="K8" s="37" t="s">
        <v>12</v>
      </c>
      <c r="L8" s="37" t="s">
        <v>13</v>
      </c>
      <c r="M8" s="37" t="s">
        <v>14</v>
      </c>
      <c r="N8" s="37" t="s">
        <v>15</v>
      </c>
      <c r="O8" s="37" t="s">
        <v>16</v>
      </c>
      <c r="P8" s="37" t="s">
        <v>17</v>
      </c>
      <c r="Q8" s="37" t="s">
        <v>18</v>
      </c>
      <c r="R8" s="37" t="s">
        <v>19</v>
      </c>
      <c r="S8" s="37" t="s">
        <v>20</v>
      </c>
      <c r="T8" s="36" t="s">
        <v>21</v>
      </c>
      <c r="U8" s="45" t="s">
        <v>22</v>
      </c>
      <c r="V8" s="2"/>
      <c r="W8" s="44" t="s">
        <v>23</v>
      </c>
      <c r="X8" s="36" t="s">
        <v>24</v>
      </c>
      <c r="Y8" s="45" t="s">
        <v>25</v>
      </c>
      <c r="Z8" s="2"/>
    </row>
    <row r="9" spans="1:26" ht="33.75">
      <c r="B9" s="70" t="s">
        <v>126</v>
      </c>
      <c r="C9" s="70" t="s">
        <v>127</v>
      </c>
      <c r="D9" s="70" t="s">
        <v>128</v>
      </c>
      <c r="E9" s="70" t="s">
        <v>129</v>
      </c>
      <c r="F9" s="70" t="s">
        <v>130</v>
      </c>
      <c r="G9" s="70" t="s">
        <v>131</v>
      </c>
      <c r="H9" s="2"/>
      <c r="I9" s="60" t="s">
        <v>132</v>
      </c>
      <c r="J9" s="60" t="s">
        <v>133</v>
      </c>
      <c r="K9" s="70" t="s">
        <v>134</v>
      </c>
      <c r="L9" s="73" t="s">
        <v>35</v>
      </c>
      <c r="M9" s="70" t="s">
        <v>36</v>
      </c>
      <c r="N9" s="70" t="s">
        <v>135</v>
      </c>
      <c r="O9" s="70" t="s">
        <v>136</v>
      </c>
      <c r="P9" s="70" t="s">
        <v>137</v>
      </c>
      <c r="Q9" s="59" t="s">
        <v>39</v>
      </c>
      <c r="R9" s="73" t="s">
        <v>40</v>
      </c>
      <c r="S9" s="59" t="s">
        <v>41</v>
      </c>
      <c r="T9" s="74">
        <v>0.8</v>
      </c>
      <c r="U9" s="59" t="s">
        <v>42</v>
      </c>
      <c r="V9" s="2"/>
      <c r="W9" s="70"/>
      <c r="X9" s="70"/>
      <c r="Y9" s="70"/>
    </row>
    <row r="10" spans="1:26" ht="33.75">
      <c r="B10" s="70" t="s">
        <v>126</v>
      </c>
      <c r="C10" s="70" t="s">
        <v>138</v>
      </c>
      <c r="D10" s="70" t="s">
        <v>128</v>
      </c>
      <c r="E10" s="70" t="s">
        <v>129</v>
      </c>
      <c r="F10" s="70" t="s">
        <v>130</v>
      </c>
      <c r="G10" s="70" t="s">
        <v>131</v>
      </c>
      <c r="H10" s="2"/>
      <c r="I10" s="60" t="s">
        <v>139</v>
      </c>
      <c r="J10" s="60" t="s">
        <v>140</v>
      </c>
      <c r="K10" s="70" t="s">
        <v>141</v>
      </c>
      <c r="L10" s="73" t="s">
        <v>35</v>
      </c>
      <c r="M10" s="73" t="s">
        <v>142</v>
      </c>
      <c r="N10" s="70" t="s">
        <v>143</v>
      </c>
      <c r="O10" s="70" t="s">
        <v>144</v>
      </c>
      <c r="P10" s="70" t="s">
        <v>137</v>
      </c>
      <c r="Q10" s="73" t="s">
        <v>39</v>
      </c>
      <c r="R10" s="73" t="s">
        <v>40</v>
      </c>
      <c r="S10" s="73" t="s">
        <v>41</v>
      </c>
      <c r="T10" s="74">
        <v>0.35</v>
      </c>
      <c r="U10" s="73" t="s">
        <v>42</v>
      </c>
      <c r="V10" s="2"/>
      <c r="W10" s="70"/>
      <c r="X10" s="70"/>
      <c r="Y10" s="70"/>
    </row>
    <row r="11" spans="1:26" ht="33.75">
      <c r="B11" s="70" t="s">
        <v>126</v>
      </c>
      <c r="C11" s="70" t="s">
        <v>138</v>
      </c>
      <c r="D11" s="70" t="s">
        <v>128</v>
      </c>
      <c r="E11" s="70" t="s">
        <v>129</v>
      </c>
      <c r="F11" s="70" t="s">
        <v>130</v>
      </c>
      <c r="G11" s="70" t="s">
        <v>131</v>
      </c>
      <c r="H11" s="2"/>
      <c r="I11" s="70" t="s">
        <v>145</v>
      </c>
      <c r="J11" s="70" t="s">
        <v>146</v>
      </c>
      <c r="K11" s="70" t="s">
        <v>147</v>
      </c>
      <c r="L11" s="73" t="s">
        <v>148</v>
      </c>
      <c r="M11" s="70" t="s">
        <v>58</v>
      </c>
      <c r="N11" s="70" t="s">
        <v>149</v>
      </c>
      <c r="O11" s="70" t="s">
        <v>150</v>
      </c>
      <c r="P11" s="70" t="s">
        <v>151</v>
      </c>
      <c r="Q11" s="73" t="s">
        <v>39</v>
      </c>
      <c r="R11" s="73" t="s">
        <v>40</v>
      </c>
      <c r="S11" s="73" t="s">
        <v>41</v>
      </c>
      <c r="T11" s="74">
        <v>0.05</v>
      </c>
      <c r="U11" s="73" t="s">
        <v>152</v>
      </c>
      <c r="V11" s="2"/>
      <c r="W11" s="70"/>
      <c r="X11" s="70"/>
      <c r="Y11" s="70"/>
    </row>
    <row r="12" spans="1:26" ht="33.75">
      <c r="B12" s="70" t="s">
        <v>126</v>
      </c>
      <c r="C12" s="70" t="s">
        <v>138</v>
      </c>
      <c r="D12" s="70" t="s">
        <v>128</v>
      </c>
      <c r="E12" s="70" t="s">
        <v>129</v>
      </c>
      <c r="F12" s="70" t="s">
        <v>130</v>
      </c>
      <c r="G12" s="70" t="s">
        <v>131</v>
      </c>
      <c r="H12" s="2"/>
      <c r="I12" s="70" t="s">
        <v>153</v>
      </c>
      <c r="J12" s="70" t="s">
        <v>154</v>
      </c>
      <c r="K12" s="70" t="s">
        <v>155</v>
      </c>
      <c r="L12" s="73" t="s">
        <v>148</v>
      </c>
      <c r="M12" s="70" t="s">
        <v>58</v>
      </c>
      <c r="N12" s="70" t="s">
        <v>156</v>
      </c>
      <c r="O12" s="70" t="s">
        <v>150</v>
      </c>
      <c r="P12" s="70" t="s">
        <v>151</v>
      </c>
      <c r="Q12" s="73" t="s">
        <v>39</v>
      </c>
      <c r="R12" s="73" t="s">
        <v>40</v>
      </c>
      <c r="S12" s="73" t="s">
        <v>41</v>
      </c>
      <c r="T12" s="74">
        <v>0.05</v>
      </c>
      <c r="U12" s="73" t="s">
        <v>152</v>
      </c>
      <c r="V12" s="2"/>
      <c r="W12" s="70"/>
      <c r="X12" s="70"/>
      <c r="Y12" s="70"/>
    </row>
    <row r="13" spans="1:26" ht="45">
      <c r="B13" s="70" t="s">
        <v>126</v>
      </c>
      <c r="C13" s="70" t="s">
        <v>157</v>
      </c>
      <c r="D13" s="70" t="s">
        <v>128</v>
      </c>
      <c r="E13" s="70" t="s">
        <v>129</v>
      </c>
      <c r="F13" s="70" t="s">
        <v>130</v>
      </c>
      <c r="G13" s="70" t="s">
        <v>131</v>
      </c>
      <c r="I13" s="70" t="s">
        <v>158</v>
      </c>
      <c r="J13" s="70" t="s">
        <v>159</v>
      </c>
      <c r="K13" s="70" t="s">
        <v>160</v>
      </c>
      <c r="L13" s="73" t="s">
        <v>35</v>
      </c>
      <c r="M13" s="70" t="s">
        <v>58</v>
      </c>
      <c r="N13" s="70" t="s">
        <v>161</v>
      </c>
      <c r="O13" s="70" t="s">
        <v>162</v>
      </c>
      <c r="P13" s="70" t="s">
        <v>137</v>
      </c>
      <c r="Q13" s="73" t="s">
        <v>39</v>
      </c>
      <c r="R13" s="73" t="s">
        <v>40</v>
      </c>
      <c r="S13" s="73" t="s">
        <v>163</v>
      </c>
      <c r="T13" s="74">
        <v>0.9</v>
      </c>
      <c r="U13" s="59" t="s">
        <v>42</v>
      </c>
      <c r="V13" s="2"/>
      <c r="W13" s="70"/>
      <c r="X13" s="70"/>
      <c r="Y13" s="70"/>
    </row>
    <row r="14" spans="1:26" ht="33.75">
      <c r="B14" s="70" t="s">
        <v>126</v>
      </c>
      <c r="C14" s="70" t="s">
        <v>138</v>
      </c>
      <c r="D14" s="70" t="s">
        <v>128</v>
      </c>
      <c r="E14" s="70" t="s">
        <v>129</v>
      </c>
      <c r="F14" s="70" t="s">
        <v>130</v>
      </c>
      <c r="G14" s="70" t="s">
        <v>131</v>
      </c>
      <c r="I14" s="70" t="s">
        <v>164</v>
      </c>
      <c r="J14" s="70" t="s">
        <v>165</v>
      </c>
      <c r="K14" s="70" t="s">
        <v>166</v>
      </c>
      <c r="L14" s="73" t="s">
        <v>35</v>
      </c>
      <c r="M14" s="70" t="s">
        <v>58</v>
      </c>
      <c r="N14" s="70" t="s">
        <v>167</v>
      </c>
      <c r="O14" s="70" t="s">
        <v>168</v>
      </c>
      <c r="P14" s="70" t="s">
        <v>169</v>
      </c>
      <c r="Q14" s="73" t="s">
        <v>39</v>
      </c>
      <c r="R14" s="73" t="s">
        <v>40</v>
      </c>
      <c r="S14" s="73" t="s">
        <v>41</v>
      </c>
      <c r="T14" s="74">
        <v>0.95</v>
      </c>
      <c r="U14" s="70" t="s">
        <v>170</v>
      </c>
      <c r="W14" s="70"/>
      <c r="X14" s="70"/>
      <c r="Y14" s="70"/>
    </row>
    <row r="15" spans="1:26" ht="45">
      <c r="B15" s="70" t="s">
        <v>126</v>
      </c>
      <c r="C15" s="70" t="s">
        <v>138</v>
      </c>
      <c r="D15" s="70" t="s">
        <v>128</v>
      </c>
      <c r="E15" s="70" t="s">
        <v>129</v>
      </c>
      <c r="F15" s="70" t="s">
        <v>130</v>
      </c>
      <c r="G15" s="70" t="s">
        <v>131</v>
      </c>
      <c r="I15" s="70" t="s">
        <v>171</v>
      </c>
      <c r="J15" s="70" t="s">
        <v>172</v>
      </c>
      <c r="K15" s="70"/>
      <c r="L15" s="59" t="s">
        <v>35</v>
      </c>
      <c r="M15" s="70" t="s">
        <v>36</v>
      </c>
      <c r="N15" s="70"/>
      <c r="O15" s="70"/>
      <c r="P15" s="70"/>
      <c r="Q15" s="70"/>
      <c r="R15" s="70"/>
      <c r="S15" s="70"/>
      <c r="T15" s="70"/>
      <c r="U15" s="70"/>
      <c r="W15" s="70"/>
      <c r="X15" s="70"/>
      <c r="Y15" s="70"/>
    </row>
  </sheetData>
  <mergeCells count="4">
    <mergeCell ref="J2:L5"/>
    <mergeCell ref="B7:G7"/>
    <mergeCell ref="I7:U7"/>
    <mergeCell ref="W7:Y7"/>
  </mergeCells>
  <printOptions horizontalCentered="1" verticalCentered="1"/>
  <pageMargins left="0.59055118110236227" right="0" top="0.98425196850393704" bottom="0.98425196850393704" header="0.51181102362204722" footer="0.51181102362204722"/>
  <pageSetup paperSize="5" scale="70" orientation="landscape" r:id="rId1"/>
  <headerFooter>
    <oddFooter>&amp;L&amp;8DE-GE-PR-03-FR-05 V03 F04-12-2014</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4"/>
  <sheetViews>
    <sheetView showGridLines="0" zoomScale="130" zoomScaleNormal="130" workbookViewId="0">
      <pane ySplit="8" topLeftCell="A9" activePane="bottomLeft" state="frozen"/>
      <selection pane="bottomLeft" activeCell="J12" sqref="J12:U14"/>
      <selection activeCell="J12" sqref="J12:U14"/>
    </sheetView>
  </sheetViews>
  <sheetFormatPr defaultColWidth="11.42578125" defaultRowHeight="12.75"/>
  <cols>
    <col min="1" max="1" width="3" style="1" bestFit="1" customWidth="1"/>
    <col min="2" max="2" width="12" style="1" bestFit="1" customWidth="1"/>
    <col min="3" max="4" width="15" style="1" customWidth="1"/>
    <col min="5" max="5" width="15" style="54" customWidth="1"/>
    <col min="6" max="6" width="15" style="1" customWidth="1"/>
    <col min="7" max="7" width="15" style="54" customWidth="1"/>
    <col min="8" max="8" width="2.5703125" style="1" customWidth="1"/>
    <col min="9" max="9" width="15.85546875" style="1" customWidth="1"/>
    <col min="10" max="10" width="26.28515625" style="1" customWidth="1"/>
    <col min="11" max="11" width="40.85546875" style="1" customWidth="1"/>
    <col min="12" max="12" width="10.7109375" style="35" customWidth="1"/>
    <col min="13" max="13" width="10.5703125" style="35" customWidth="1"/>
    <col min="14" max="14" width="38.7109375" style="1" customWidth="1"/>
    <col min="15" max="16" width="11.85546875" style="1" customWidth="1"/>
    <col min="17" max="17" width="13.28515625" style="1" customWidth="1"/>
    <col min="18" max="18" width="13.5703125" style="35" customWidth="1"/>
    <col min="19" max="19" width="13.5703125" style="1" customWidth="1"/>
    <col min="20" max="20" width="14.7109375" style="35" customWidth="1"/>
    <col min="21" max="21" width="13.42578125" style="35" bestFit="1" customWidth="1"/>
    <col min="22" max="22" width="2.7109375" style="1" customWidth="1"/>
    <col min="23" max="25" width="23" style="1" customWidth="1"/>
    <col min="26" max="26" width="3.140625" style="1" customWidth="1"/>
    <col min="27" max="16384" width="11.42578125" style="1"/>
  </cols>
  <sheetData>
    <row r="1" spans="1:26" s="10" customFormat="1" ht="13.5" hidden="1" thickBot="1">
      <c r="A1" s="2"/>
      <c r="B1" s="2"/>
      <c r="C1" s="2"/>
      <c r="D1" s="2"/>
      <c r="E1" s="4"/>
      <c r="F1" s="2"/>
      <c r="G1" s="4"/>
      <c r="H1" s="2"/>
      <c r="I1" s="2"/>
      <c r="J1" s="3"/>
      <c r="K1" s="2"/>
      <c r="L1" s="55"/>
      <c r="M1" s="55"/>
      <c r="N1" s="2"/>
      <c r="O1" s="2"/>
      <c r="P1" s="4"/>
      <c r="Q1" s="2"/>
      <c r="R1" s="30"/>
      <c r="S1" s="2"/>
      <c r="T1" s="30"/>
      <c r="U1" s="2"/>
      <c r="V1" s="2"/>
      <c r="W1" s="2"/>
      <c r="X1" s="2"/>
      <c r="Y1" s="2"/>
      <c r="Z1" s="2"/>
    </row>
    <row r="2" spans="1:26" s="10" customFormat="1" ht="13.5" hidden="1" thickBot="1">
      <c r="A2" s="2"/>
      <c r="B2" s="5"/>
      <c r="C2" s="18"/>
      <c r="D2" s="18"/>
      <c r="E2" s="52"/>
      <c r="F2" s="18"/>
      <c r="G2" s="52"/>
      <c r="H2" s="47"/>
      <c r="I2" s="18"/>
      <c r="J2" s="286" t="s">
        <v>0</v>
      </c>
      <c r="K2" s="286"/>
      <c r="L2" s="286"/>
      <c r="M2" s="56"/>
      <c r="N2" s="6"/>
      <c r="O2" s="16"/>
      <c r="P2" s="7"/>
      <c r="Q2" s="6"/>
      <c r="R2" s="31"/>
      <c r="S2" s="6"/>
      <c r="T2" s="31"/>
      <c r="U2" s="16"/>
      <c r="V2" s="7"/>
      <c r="W2" s="6"/>
      <c r="X2" s="6"/>
      <c r="Y2" s="24"/>
      <c r="Z2" s="2"/>
    </row>
    <row r="3" spans="1:26" s="10" customFormat="1" ht="13.5" hidden="1" thickBot="1">
      <c r="A3" s="2"/>
      <c r="B3" s="8"/>
      <c r="C3" s="9"/>
      <c r="D3" s="9"/>
      <c r="E3" s="9"/>
      <c r="F3" s="9"/>
      <c r="G3" s="9"/>
      <c r="H3" s="40"/>
      <c r="I3" s="9"/>
      <c r="J3" s="287"/>
      <c r="K3" s="287"/>
      <c r="L3" s="287"/>
      <c r="M3" s="57"/>
      <c r="P3" s="11"/>
      <c r="R3" s="92"/>
      <c r="T3" s="32"/>
      <c r="U3" s="17"/>
      <c r="V3" s="11"/>
      <c r="W3" s="12"/>
      <c r="X3" s="12"/>
      <c r="Y3" s="25"/>
      <c r="Z3" s="2"/>
    </row>
    <row r="4" spans="1:26" s="10" customFormat="1" ht="13.5" hidden="1" thickBot="1">
      <c r="A4" s="2"/>
      <c r="B4" s="13"/>
      <c r="C4" s="14"/>
      <c r="D4" s="14"/>
      <c r="E4" s="9"/>
      <c r="F4" s="14"/>
      <c r="G4" s="9"/>
      <c r="H4" s="39"/>
      <c r="I4" s="14"/>
      <c r="J4" s="287"/>
      <c r="K4" s="287"/>
      <c r="L4" s="287"/>
      <c r="M4" s="58"/>
      <c r="N4" s="12"/>
      <c r="O4" s="12"/>
      <c r="P4" s="17"/>
      <c r="Q4" s="12"/>
      <c r="R4" s="32"/>
      <c r="S4" s="12"/>
      <c r="T4" s="32"/>
      <c r="U4" s="23"/>
      <c r="V4" s="46"/>
      <c r="W4" s="12"/>
      <c r="X4" s="12"/>
      <c r="Y4" s="25"/>
      <c r="Z4" s="2"/>
    </row>
    <row r="5" spans="1:26" s="10" customFormat="1" ht="24" hidden="1" thickBot="1">
      <c r="A5" s="2"/>
      <c r="B5" s="48"/>
      <c r="C5" s="19"/>
      <c r="D5" s="19"/>
      <c r="E5" s="53"/>
      <c r="F5" s="19"/>
      <c r="G5" s="53"/>
      <c r="H5" s="49"/>
      <c r="I5" s="38"/>
      <c r="J5" s="288"/>
      <c r="K5" s="288"/>
      <c r="L5" s="288"/>
      <c r="M5" s="105"/>
      <c r="N5" s="19"/>
      <c r="O5" s="19"/>
      <c r="P5" s="19"/>
      <c r="Q5" s="19"/>
      <c r="R5" s="33"/>
      <c r="S5" s="19"/>
      <c r="T5" s="33"/>
      <c r="U5" s="19"/>
      <c r="V5" s="49"/>
      <c r="W5" s="26"/>
      <c r="X5" s="26"/>
      <c r="Y5" s="27"/>
      <c r="Z5" s="2"/>
    </row>
    <row r="6" spans="1:26" s="10" customFormat="1" ht="13.5" hidden="1" thickBot="1">
      <c r="A6" s="2"/>
      <c r="B6" s="2"/>
      <c r="C6" s="2"/>
      <c r="D6" s="2"/>
      <c r="E6" s="4"/>
      <c r="F6" s="2"/>
      <c r="G6" s="4"/>
      <c r="H6" s="2"/>
      <c r="I6" s="2"/>
      <c r="J6" s="2"/>
      <c r="K6" s="2"/>
      <c r="L6" s="55"/>
      <c r="M6" s="55"/>
      <c r="N6" s="2"/>
      <c r="O6" s="2"/>
      <c r="P6" s="2"/>
      <c r="Q6" s="2"/>
      <c r="R6" s="30"/>
      <c r="S6" s="2"/>
      <c r="T6" s="2"/>
      <c r="U6" s="2"/>
      <c r="V6" s="2"/>
      <c r="W6" s="2"/>
      <c r="X6" s="2"/>
      <c r="Y6" s="2"/>
      <c r="Z6" s="2"/>
    </row>
    <row r="7" spans="1:26" s="10" customFormat="1" ht="13.5" thickBot="1">
      <c r="A7" s="2"/>
      <c r="B7" s="289" t="s">
        <v>1</v>
      </c>
      <c r="C7" s="290"/>
      <c r="D7" s="290"/>
      <c r="E7" s="290"/>
      <c r="F7" s="290"/>
      <c r="G7" s="291"/>
      <c r="H7" s="2"/>
      <c r="I7" s="292" t="s">
        <v>2</v>
      </c>
      <c r="J7" s="293"/>
      <c r="K7" s="293"/>
      <c r="L7" s="294"/>
      <c r="M7" s="294"/>
      <c r="N7" s="293"/>
      <c r="O7" s="293"/>
      <c r="P7" s="293"/>
      <c r="Q7" s="293"/>
      <c r="R7" s="293"/>
      <c r="S7" s="293"/>
      <c r="T7" s="293"/>
      <c r="U7" s="295"/>
      <c r="V7" s="2"/>
      <c r="W7" s="292" t="s">
        <v>3</v>
      </c>
      <c r="X7" s="293"/>
      <c r="Y7" s="296"/>
      <c r="Z7" s="2"/>
    </row>
    <row r="8" spans="1:26" ht="38.25">
      <c r="A8" s="2"/>
      <c r="B8" s="44" t="s">
        <v>4</v>
      </c>
      <c r="C8" s="36" t="s">
        <v>5</v>
      </c>
      <c r="D8" s="36" t="s">
        <v>6</v>
      </c>
      <c r="E8" s="36" t="s">
        <v>7</v>
      </c>
      <c r="F8" s="36" t="s">
        <v>8</v>
      </c>
      <c r="G8" s="36" t="s">
        <v>9</v>
      </c>
      <c r="H8" s="2"/>
      <c r="I8" s="44" t="s">
        <v>10</v>
      </c>
      <c r="J8" s="37" t="s">
        <v>11</v>
      </c>
      <c r="K8" s="37" t="s">
        <v>12</v>
      </c>
      <c r="L8" s="37" t="s">
        <v>13</v>
      </c>
      <c r="M8" s="37" t="s">
        <v>14</v>
      </c>
      <c r="N8" s="37" t="s">
        <v>15</v>
      </c>
      <c r="O8" s="37" t="s">
        <v>16</v>
      </c>
      <c r="P8" s="37" t="s">
        <v>17</v>
      </c>
      <c r="Q8" s="37" t="s">
        <v>18</v>
      </c>
      <c r="R8" s="37" t="s">
        <v>19</v>
      </c>
      <c r="S8" s="37" t="s">
        <v>20</v>
      </c>
      <c r="T8" s="36" t="s">
        <v>21</v>
      </c>
      <c r="U8" s="45" t="s">
        <v>22</v>
      </c>
      <c r="V8" s="2"/>
      <c r="W8" s="44" t="s">
        <v>23</v>
      </c>
      <c r="X8" s="36" t="s">
        <v>24</v>
      </c>
      <c r="Y8" s="45" t="s">
        <v>25</v>
      </c>
      <c r="Z8" s="2"/>
    </row>
    <row r="9" spans="1:26" ht="45">
      <c r="A9" s="2"/>
      <c r="B9" s="82" t="s">
        <v>173</v>
      </c>
      <c r="C9" s="59" t="s">
        <v>174</v>
      </c>
      <c r="D9" s="60" t="s">
        <v>173</v>
      </c>
      <c r="E9" s="60" t="s">
        <v>175</v>
      </c>
      <c r="F9" s="60" t="s">
        <v>176</v>
      </c>
      <c r="G9" s="61" t="s">
        <v>177</v>
      </c>
      <c r="H9" s="2"/>
      <c r="I9" s="60" t="s">
        <v>178</v>
      </c>
      <c r="J9" s="60" t="s">
        <v>179</v>
      </c>
      <c r="K9" s="60" t="s">
        <v>180</v>
      </c>
      <c r="L9" s="63" t="s">
        <v>35</v>
      </c>
      <c r="M9" s="59" t="s">
        <v>36</v>
      </c>
      <c r="N9" s="60" t="s">
        <v>181</v>
      </c>
      <c r="O9" s="60" t="s">
        <v>182</v>
      </c>
      <c r="P9" s="60" t="s">
        <v>183</v>
      </c>
      <c r="Q9" s="63" t="s">
        <v>39</v>
      </c>
      <c r="R9" s="59" t="s">
        <v>40</v>
      </c>
      <c r="S9" s="63" t="s">
        <v>41</v>
      </c>
      <c r="T9" s="97">
        <v>0.7</v>
      </c>
      <c r="U9" s="64" t="s">
        <v>42</v>
      </c>
      <c r="V9" s="2"/>
      <c r="W9" s="82"/>
      <c r="X9" s="60"/>
      <c r="Y9" s="61"/>
    </row>
    <row r="10" spans="1:26" ht="45">
      <c r="A10" s="2"/>
      <c r="B10" s="82" t="s">
        <v>173</v>
      </c>
      <c r="C10" s="59" t="s">
        <v>118</v>
      </c>
      <c r="D10" s="60" t="s">
        <v>173</v>
      </c>
      <c r="E10" s="60" t="s">
        <v>175</v>
      </c>
      <c r="F10" s="60" t="s">
        <v>184</v>
      </c>
      <c r="G10" s="61" t="s">
        <v>185</v>
      </c>
      <c r="H10" s="2"/>
      <c r="I10" s="60" t="s">
        <v>186</v>
      </c>
      <c r="J10" s="60" t="s">
        <v>187</v>
      </c>
      <c r="K10" s="60" t="s">
        <v>188</v>
      </c>
      <c r="L10" s="63" t="s">
        <v>35</v>
      </c>
      <c r="M10" s="59" t="s">
        <v>58</v>
      </c>
      <c r="N10" s="60" t="s">
        <v>189</v>
      </c>
      <c r="O10" s="60" t="s">
        <v>190</v>
      </c>
      <c r="P10" s="60" t="s">
        <v>190</v>
      </c>
      <c r="Q10" s="63" t="s">
        <v>39</v>
      </c>
      <c r="R10" s="59" t="s">
        <v>40</v>
      </c>
      <c r="S10" s="63" t="s">
        <v>41</v>
      </c>
      <c r="T10" s="65">
        <v>0.95</v>
      </c>
      <c r="U10" s="61"/>
      <c r="V10" s="2"/>
      <c r="W10" s="82"/>
      <c r="X10" s="60"/>
      <c r="Y10" s="61"/>
    </row>
    <row r="11" spans="1:26" ht="56.25">
      <c r="A11" s="2"/>
      <c r="B11" s="82" t="s">
        <v>173</v>
      </c>
      <c r="C11" s="59" t="s">
        <v>118</v>
      </c>
      <c r="D11" s="60" t="s">
        <v>173</v>
      </c>
      <c r="E11" s="60" t="s">
        <v>175</v>
      </c>
      <c r="F11" s="60" t="s">
        <v>184</v>
      </c>
      <c r="G11" s="61" t="s">
        <v>185</v>
      </c>
      <c r="H11" s="2"/>
      <c r="I11" s="60" t="s">
        <v>186</v>
      </c>
      <c r="J11" s="60" t="s">
        <v>191</v>
      </c>
      <c r="K11" s="60" t="s">
        <v>192</v>
      </c>
      <c r="L11" s="63" t="s">
        <v>35</v>
      </c>
      <c r="M11" s="59" t="s">
        <v>58</v>
      </c>
      <c r="N11" s="60" t="s">
        <v>193</v>
      </c>
      <c r="O11" s="60" t="s">
        <v>194</v>
      </c>
      <c r="P11" s="60" t="s">
        <v>195</v>
      </c>
      <c r="Q11" s="63" t="s">
        <v>39</v>
      </c>
      <c r="R11" s="59" t="s">
        <v>40</v>
      </c>
      <c r="S11" s="63" t="s">
        <v>41</v>
      </c>
      <c r="T11" s="65">
        <v>0.95</v>
      </c>
      <c r="U11" s="61"/>
      <c r="V11" s="2"/>
      <c r="W11" s="82"/>
      <c r="X11" s="60"/>
      <c r="Y11" s="61"/>
    </row>
    <row r="12" spans="1:26" ht="45">
      <c r="A12" s="2"/>
      <c r="B12" s="82" t="s">
        <v>173</v>
      </c>
      <c r="C12" s="59" t="s">
        <v>196</v>
      </c>
      <c r="D12" s="60" t="s">
        <v>173</v>
      </c>
      <c r="E12" s="60" t="s">
        <v>175</v>
      </c>
      <c r="F12" s="60" t="s">
        <v>197</v>
      </c>
      <c r="G12" s="61" t="s">
        <v>198</v>
      </c>
      <c r="H12" s="2"/>
      <c r="I12" s="60" t="s">
        <v>199</v>
      </c>
      <c r="J12" s="60" t="s">
        <v>200</v>
      </c>
      <c r="K12" s="60" t="s">
        <v>201</v>
      </c>
      <c r="L12" s="63" t="s">
        <v>35</v>
      </c>
      <c r="M12" s="59" t="s">
        <v>58</v>
      </c>
      <c r="N12" s="60" t="s">
        <v>202</v>
      </c>
      <c r="O12" s="60" t="s">
        <v>203</v>
      </c>
      <c r="P12" s="60" t="s">
        <v>204</v>
      </c>
      <c r="Q12" s="63" t="s">
        <v>39</v>
      </c>
      <c r="R12" s="59" t="s">
        <v>40</v>
      </c>
      <c r="S12" s="63" t="s">
        <v>41</v>
      </c>
      <c r="T12" s="97"/>
      <c r="U12" s="64" t="s">
        <v>42</v>
      </c>
      <c r="V12" s="2"/>
      <c r="W12" s="82"/>
      <c r="X12" s="60"/>
      <c r="Y12" s="61"/>
    </row>
    <row r="13" spans="1:26" ht="45">
      <c r="A13" s="2"/>
      <c r="B13" s="82" t="s">
        <v>205</v>
      </c>
      <c r="C13" s="59" t="s">
        <v>206</v>
      </c>
      <c r="D13" s="60" t="s">
        <v>173</v>
      </c>
      <c r="E13" s="60" t="s">
        <v>175</v>
      </c>
      <c r="F13" s="60" t="s">
        <v>207</v>
      </c>
      <c r="G13" s="61" t="s">
        <v>208</v>
      </c>
      <c r="H13" s="2"/>
      <c r="I13" s="60" t="s">
        <v>209</v>
      </c>
      <c r="J13" s="60" t="s">
        <v>210</v>
      </c>
      <c r="K13" s="62" t="s">
        <v>211</v>
      </c>
      <c r="L13" s="63" t="s">
        <v>35</v>
      </c>
      <c r="M13" s="63" t="s">
        <v>36</v>
      </c>
      <c r="N13" s="62" t="s">
        <v>212</v>
      </c>
      <c r="O13" s="62" t="s">
        <v>213</v>
      </c>
      <c r="P13" s="62" t="s">
        <v>213</v>
      </c>
      <c r="Q13" s="63" t="s">
        <v>39</v>
      </c>
      <c r="R13" s="63" t="s">
        <v>40</v>
      </c>
      <c r="S13" s="63" t="s">
        <v>41</v>
      </c>
      <c r="T13" s="89">
        <v>0.8</v>
      </c>
      <c r="U13" s="64" t="s">
        <v>42</v>
      </c>
      <c r="V13" s="2"/>
      <c r="W13" s="83"/>
      <c r="X13" s="62"/>
      <c r="Y13" s="90"/>
    </row>
    <row r="14" spans="1:26" ht="56.25">
      <c r="A14" s="2"/>
      <c r="B14" s="82" t="s">
        <v>205</v>
      </c>
      <c r="C14" s="59" t="s">
        <v>206</v>
      </c>
      <c r="D14" s="60" t="s">
        <v>173</v>
      </c>
      <c r="E14" s="60" t="s">
        <v>175</v>
      </c>
      <c r="F14" s="60" t="s">
        <v>207</v>
      </c>
      <c r="G14" s="61" t="s">
        <v>208</v>
      </c>
      <c r="H14" s="2"/>
      <c r="I14" s="60" t="s">
        <v>209</v>
      </c>
      <c r="J14" s="60" t="s">
        <v>214</v>
      </c>
      <c r="K14" s="62" t="s">
        <v>215</v>
      </c>
      <c r="L14" s="63" t="s">
        <v>35</v>
      </c>
      <c r="M14" s="63" t="s">
        <v>36</v>
      </c>
      <c r="N14" s="62" t="s">
        <v>216</v>
      </c>
      <c r="O14" s="62" t="s">
        <v>213</v>
      </c>
      <c r="P14" s="62" t="s">
        <v>213</v>
      </c>
      <c r="Q14" s="63" t="s">
        <v>39</v>
      </c>
      <c r="R14" s="63" t="s">
        <v>40</v>
      </c>
      <c r="S14" s="63" t="s">
        <v>41</v>
      </c>
      <c r="T14" s="89">
        <v>0.8</v>
      </c>
      <c r="U14" s="64" t="s">
        <v>42</v>
      </c>
      <c r="V14" s="2"/>
      <c r="W14" s="83"/>
      <c r="X14" s="62"/>
      <c r="Y14" s="90"/>
    </row>
  </sheetData>
  <mergeCells count="4">
    <mergeCell ref="J2:L5"/>
    <mergeCell ref="B7:G7"/>
    <mergeCell ref="I7:U7"/>
    <mergeCell ref="W7:Y7"/>
  </mergeCells>
  <printOptions horizontalCentered="1" verticalCentered="1"/>
  <pageMargins left="0.59055118110236227" right="0" top="0.98425196850393704" bottom="0.98425196850393704" header="0.51181102362204722" footer="0.51181102362204722"/>
  <pageSetup paperSize="5" scale="70" orientation="landscape" r:id="rId1"/>
  <headerFooter>
    <oddFooter>&amp;L&amp;8DE-GE-PR-03-FR-05 V03 F04-12-2014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9"/>
  <sheetViews>
    <sheetView showGridLines="0" topLeftCell="L1" zoomScale="130" zoomScaleNormal="130" workbookViewId="0">
      <pane ySplit="8" topLeftCell="A9" activePane="bottomLeft" state="frozen"/>
      <selection pane="bottomLeft" activeCell="J12" sqref="J12:U14"/>
      <selection activeCell="J12" sqref="J12:U14"/>
    </sheetView>
  </sheetViews>
  <sheetFormatPr defaultColWidth="11.42578125" defaultRowHeight="12.75"/>
  <cols>
    <col min="1" max="1" width="3" style="1" bestFit="1" customWidth="1"/>
    <col min="2" max="2" width="12" style="1" bestFit="1" customWidth="1"/>
    <col min="3" max="4" width="15" style="1" customWidth="1"/>
    <col min="5" max="5" width="15" style="54" customWidth="1"/>
    <col min="6" max="6" width="15" style="1" customWidth="1"/>
    <col min="7" max="7" width="15" style="54" customWidth="1"/>
    <col min="8" max="8" width="2.5703125" style="1" customWidth="1"/>
    <col min="9" max="9" width="15.85546875" style="1" customWidth="1"/>
    <col min="10" max="10" width="26.28515625" style="1" customWidth="1"/>
    <col min="11" max="11" width="40.85546875" style="1" customWidth="1"/>
    <col min="12" max="12" width="10.7109375" style="35" customWidth="1"/>
    <col min="13" max="13" width="10.5703125" style="35" customWidth="1"/>
    <col min="14" max="14" width="38.7109375" style="1" customWidth="1"/>
    <col min="15" max="16" width="11.85546875" style="1" customWidth="1"/>
    <col min="17" max="17" width="13.28515625" style="1" customWidth="1"/>
    <col min="18" max="18" width="13.5703125" style="35" customWidth="1"/>
    <col min="19" max="19" width="13.5703125" style="1" customWidth="1"/>
    <col min="20" max="20" width="14.7109375" style="35" customWidth="1"/>
    <col min="21" max="21" width="13.42578125" style="35" bestFit="1" customWidth="1"/>
    <col min="22" max="22" width="2.7109375" style="1" customWidth="1"/>
    <col min="23" max="25" width="23" style="1" customWidth="1"/>
    <col min="26" max="26" width="3.140625" style="1" customWidth="1"/>
    <col min="27" max="16384" width="11.42578125" style="1"/>
  </cols>
  <sheetData>
    <row r="1" spans="1:26" s="10" customFormat="1" ht="13.5" hidden="1" thickBot="1">
      <c r="A1" s="2"/>
      <c r="B1" s="2"/>
      <c r="C1" s="2"/>
      <c r="D1" s="2"/>
      <c r="E1" s="4"/>
      <c r="F1" s="2"/>
      <c r="G1" s="4"/>
      <c r="H1" s="2"/>
      <c r="I1" s="2"/>
      <c r="J1" s="3"/>
      <c r="K1" s="2"/>
      <c r="L1" s="55"/>
      <c r="M1" s="55"/>
      <c r="N1" s="2"/>
      <c r="O1" s="2"/>
      <c r="P1" s="4"/>
      <c r="Q1" s="2"/>
      <c r="R1" s="30"/>
      <c r="S1" s="2"/>
      <c r="T1" s="30"/>
      <c r="U1" s="2"/>
      <c r="V1" s="2"/>
      <c r="W1" s="2"/>
      <c r="X1" s="2"/>
      <c r="Y1" s="2"/>
      <c r="Z1" s="2"/>
    </row>
    <row r="2" spans="1:26" s="10" customFormat="1" ht="13.5" hidden="1" thickBot="1">
      <c r="A2" s="2"/>
      <c r="B2" s="5"/>
      <c r="C2" s="18"/>
      <c r="D2" s="18"/>
      <c r="E2" s="52"/>
      <c r="F2" s="18"/>
      <c r="G2" s="52"/>
      <c r="H2" s="47"/>
      <c r="I2" s="18"/>
      <c r="J2" s="286" t="s">
        <v>0</v>
      </c>
      <c r="K2" s="286"/>
      <c r="L2" s="286"/>
      <c r="M2" s="56"/>
      <c r="N2" s="6"/>
      <c r="O2" s="16"/>
      <c r="P2" s="7"/>
      <c r="Q2" s="6"/>
      <c r="R2" s="31"/>
      <c r="S2" s="6"/>
      <c r="T2" s="31"/>
      <c r="U2" s="16"/>
      <c r="V2" s="7"/>
      <c r="W2" s="6"/>
      <c r="X2" s="6"/>
      <c r="Y2" s="24"/>
      <c r="Z2" s="2"/>
    </row>
    <row r="3" spans="1:26" s="10" customFormat="1" ht="13.5" hidden="1" thickBot="1">
      <c r="A3" s="2"/>
      <c r="B3" s="8"/>
      <c r="C3" s="9"/>
      <c r="D3" s="9"/>
      <c r="E3" s="9"/>
      <c r="F3" s="9"/>
      <c r="G3" s="9"/>
      <c r="H3" s="40"/>
      <c r="I3" s="9"/>
      <c r="J3" s="287"/>
      <c r="K3" s="287"/>
      <c r="L3" s="287"/>
      <c r="M3" s="57"/>
      <c r="P3" s="11"/>
      <c r="R3" s="92"/>
      <c r="T3" s="32"/>
      <c r="U3" s="17"/>
      <c r="V3" s="11"/>
      <c r="W3" s="12"/>
      <c r="X3" s="12"/>
      <c r="Y3" s="25"/>
      <c r="Z3" s="2"/>
    </row>
    <row r="4" spans="1:26" s="10" customFormat="1" ht="13.5" hidden="1" thickBot="1">
      <c r="A4" s="2"/>
      <c r="B4" s="13"/>
      <c r="C4" s="14"/>
      <c r="D4" s="14"/>
      <c r="E4" s="9"/>
      <c r="F4" s="14"/>
      <c r="G4" s="9"/>
      <c r="H4" s="39"/>
      <c r="I4" s="14"/>
      <c r="J4" s="287"/>
      <c r="K4" s="287"/>
      <c r="L4" s="287"/>
      <c r="M4" s="58"/>
      <c r="N4" s="12"/>
      <c r="O4" s="12"/>
      <c r="P4" s="17"/>
      <c r="Q4" s="12"/>
      <c r="R4" s="32"/>
      <c r="S4" s="12"/>
      <c r="T4" s="32"/>
      <c r="U4" s="23"/>
      <c r="V4" s="46"/>
      <c r="W4" s="12"/>
      <c r="X4" s="12"/>
      <c r="Y4" s="25"/>
      <c r="Z4" s="2"/>
    </row>
    <row r="5" spans="1:26" s="10" customFormat="1" ht="24" hidden="1" thickBot="1">
      <c r="A5" s="2"/>
      <c r="B5" s="48"/>
      <c r="C5" s="19"/>
      <c r="D5" s="19"/>
      <c r="E5" s="53"/>
      <c r="F5" s="19"/>
      <c r="G5" s="53"/>
      <c r="H5" s="49"/>
      <c r="I5" s="38"/>
      <c r="J5" s="288"/>
      <c r="K5" s="288"/>
      <c r="L5" s="288"/>
      <c r="M5" s="105"/>
      <c r="N5" s="19"/>
      <c r="O5" s="19"/>
      <c r="P5" s="19"/>
      <c r="Q5" s="19"/>
      <c r="R5" s="33"/>
      <c r="S5" s="19"/>
      <c r="T5" s="33"/>
      <c r="U5" s="19"/>
      <c r="V5" s="49"/>
      <c r="W5" s="26"/>
      <c r="X5" s="26"/>
      <c r="Y5" s="27"/>
      <c r="Z5" s="2"/>
    </row>
    <row r="6" spans="1:26" s="10" customFormat="1" ht="13.5" hidden="1" thickBot="1">
      <c r="A6" s="2"/>
      <c r="B6" s="2"/>
      <c r="C6" s="2"/>
      <c r="D6" s="2"/>
      <c r="E6" s="4"/>
      <c r="F6" s="2"/>
      <c r="G6" s="4"/>
      <c r="H6" s="2"/>
      <c r="I6" s="2"/>
      <c r="J6" s="2"/>
      <c r="K6" s="2"/>
      <c r="L6" s="55"/>
      <c r="M6" s="55"/>
      <c r="N6" s="2"/>
      <c r="O6" s="2"/>
      <c r="P6" s="2"/>
      <c r="Q6" s="2"/>
      <c r="R6" s="30"/>
      <c r="S6" s="2"/>
      <c r="T6" s="2"/>
      <c r="U6" s="2"/>
      <c r="V6" s="2"/>
      <c r="W6" s="2"/>
      <c r="X6" s="2"/>
      <c r="Y6" s="2"/>
      <c r="Z6" s="2"/>
    </row>
    <row r="7" spans="1:26" s="10" customFormat="1" ht="13.5" thickBot="1">
      <c r="A7" s="2"/>
      <c r="B7" s="289" t="s">
        <v>1</v>
      </c>
      <c r="C7" s="290"/>
      <c r="D7" s="290"/>
      <c r="E7" s="290"/>
      <c r="F7" s="290"/>
      <c r="G7" s="291"/>
      <c r="H7" s="2"/>
      <c r="I7" s="292" t="s">
        <v>2</v>
      </c>
      <c r="J7" s="293"/>
      <c r="K7" s="293"/>
      <c r="L7" s="294"/>
      <c r="M7" s="294"/>
      <c r="N7" s="293"/>
      <c r="O7" s="293"/>
      <c r="P7" s="293"/>
      <c r="Q7" s="293"/>
      <c r="R7" s="293"/>
      <c r="S7" s="293"/>
      <c r="T7" s="293"/>
      <c r="U7" s="295"/>
      <c r="V7" s="2"/>
      <c r="W7" s="292" t="s">
        <v>3</v>
      </c>
      <c r="X7" s="293"/>
      <c r="Y7" s="296"/>
      <c r="Z7" s="2"/>
    </row>
    <row r="8" spans="1:26" ht="38.25">
      <c r="A8" s="2"/>
      <c r="B8" s="44" t="s">
        <v>4</v>
      </c>
      <c r="C8" s="36" t="s">
        <v>5</v>
      </c>
      <c r="D8" s="36" t="s">
        <v>6</v>
      </c>
      <c r="E8" s="36" t="s">
        <v>7</v>
      </c>
      <c r="F8" s="36" t="s">
        <v>8</v>
      </c>
      <c r="G8" s="36" t="s">
        <v>9</v>
      </c>
      <c r="H8" s="2"/>
      <c r="I8" s="44" t="s">
        <v>10</v>
      </c>
      <c r="J8" s="37" t="s">
        <v>11</v>
      </c>
      <c r="K8" s="37" t="s">
        <v>12</v>
      </c>
      <c r="L8" s="37" t="s">
        <v>13</v>
      </c>
      <c r="M8" s="37" t="s">
        <v>14</v>
      </c>
      <c r="N8" s="37" t="s">
        <v>15</v>
      </c>
      <c r="O8" s="37" t="s">
        <v>16</v>
      </c>
      <c r="P8" s="37" t="s">
        <v>17</v>
      </c>
      <c r="Q8" s="37" t="s">
        <v>18</v>
      </c>
      <c r="R8" s="37" t="s">
        <v>19</v>
      </c>
      <c r="S8" s="37" t="s">
        <v>20</v>
      </c>
      <c r="T8" s="36" t="s">
        <v>21</v>
      </c>
      <c r="U8" s="45" t="s">
        <v>22</v>
      </c>
      <c r="V8" s="2"/>
      <c r="W8" s="44" t="s">
        <v>23</v>
      </c>
      <c r="X8" s="36" t="s">
        <v>24</v>
      </c>
      <c r="Y8" s="45" t="s">
        <v>25</v>
      </c>
      <c r="Z8" s="2"/>
    </row>
    <row r="9" spans="1:26" ht="43.5" customHeight="1">
      <c r="A9" s="2"/>
      <c r="B9" s="94" t="s">
        <v>217</v>
      </c>
      <c r="C9" s="71" t="s">
        <v>218</v>
      </c>
      <c r="D9" s="71" t="s">
        <v>219</v>
      </c>
      <c r="E9" s="71" t="s">
        <v>220</v>
      </c>
      <c r="F9" s="71" t="s">
        <v>219</v>
      </c>
      <c r="G9" s="72" t="s">
        <v>221</v>
      </c>
      <c r="H9" s="2"/>
      <c r="I9" s="72" t="s">
        <v>222</v>
      </c>
      <c r="J9" s="72" t="s">
        <v>223</v>
      </c>
      <c r="K9" s="86" t="s">
        <v>224</v>
      </c>
      <c r="L9" s="88" t="s">
        <v>225</v>
      </c>
      <c r="M9" s="88" t="s">
        <v>142</v>
      </c>
      <c r="N9" s="86" t="s">
        <v>226</v>
      </c>
      <c r="O9" s="86" t="s">
        <v>227</v>
      </c>
      <c r="P9" s="86" t="s">
        <v>227</v>
      </c>
      <c r="Q9" s="88" t="s">
        <v>39</v>
      </c>
      <c r="R9" s="88" t="s">
        <v>40</v>
      </c>
      <c r="S9" s="88" t="s">
        <v>41</v>
      </c>
      <c r="T9" s="74">
        <v>0.8</v>
      </c>
      <c r="U9" s="74" t="s">
        <v>42</v>
      </c>
      <c r="V9" s="2"/>
      <c r="W9" s="69"/>
      <c r="X9" s="70"/>
      <c r="Y9" s="75"/>
      <c r="Z9" s="21"/>
    </row>
  </sheetData>
  <mergeCells count="4">
    <mergeCell ref="J2:L5"/>
    <mergeCell ref="B7:G7"/>
    <mergeCell ref="I7:U7"/>
    <mergeCell ref="W7:Y7"/>
  </mergeCells>
  <printOptions horizontalCentered="1" verticalCentered="1"/>
  <pageMargins left="0.59055118110236227" right="0" top="0.98425196850393704" bottom="0.98425196850393704" header="0.51181102362204722" footer="0.51181102362204722"/>
  <pageSetup paperSize="5" scale="70" orientation="landscape" r:id="rId1"/>
  <headerFooter>
    <oddFooter>&amp;L&amp;8DE-GE-PR-03-FR-05 V03 F04-12-2014</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
  <sheetViews>
    <sheetView showGridLines="0" topLeftCell="L1" zoomScale="130" zoomScaleNormal="130" workbookViewId="0">
      <pane ySplit="8" topLeftCell="A9" activePane="bottomLeft" state="frozen"/>
      <selection pane="bottomLeft" activeCell="J12" sqref="J12:U14"/>
      <selection activeCell="J12" sqref="J12:U14"/>
    </sheetView>
  </sheetViews>
  <sheetFormatPr defaultColWidth="11.42578125" defaultRowHeight="12.75"/>
  <cols>
    <col min="1" max="1" width="3" style="1" bestFit="1" customWidth="1"/>
    <col min="2" max="2" width="12" style="1" bestFit="1" customWidth="1"/>
    <col min="3" max="4" width="15" style="1" customWidth="1"/>
    <col min="5" max="5" width="15" style="54" customWidth="1"/>
    <col min="6" max="6" width="15" style="1" customWidth="1"/>
    <col min="7" max="7" width="15" style="54" customWidth="1"/>
    <col min="8" max="8" width="2.5703125" style="1" customWidth="1"/>
    <col min="9" max="9" width="15.85546875" style="1" customWidth="1"/>
    <col min="10" max="10" width="26.28515625" style="1" customWidth="1"/>
    <col min="11" max="11" width="40.85546875" style="1" customWidth="1"/>
    <col min="12" max="12" width="10.7109375" style="35" customWidth="1"/>
    <col min="13" max="13" width="10.5703125" style="35" customWidth="1"/>
    <col min="14" max="14" width="38.7109375" style="1" customWidth="1"/>
    <col min="15" max="16" width="11.85546875" style="1" customWidth="1"/>
    <col min="17" max="17" width="13.28515625" style="1" customWidth="1"/>
    <col min="18" max="18" width="13.5703125" style="35" customWidth="1"/>
    <col min="19" max="19" width="13.5703125" style="1" customWidth="1"/>
    <col min="20" max="20" width="14.7109375" style="35" customWidth="1"/>
    <col min="21" max="21" width="13.42578125" style="35" bestFit="1" customWidth="1"/>
    <col min="22" max="22" width="2.7109375" style="1" customWidth="1"/>
    <col min="23" max="25" width="23" style="1" customWidth="1"/>
    <col min="26" max="26" width="3.140625" style="1" customWidth="1"/>
    <col min="27" max="16384" width="11.42578125" style="1"/>
  </cols>
  <sheetData>
    <row r="1" spans="1:26" s="10" customFormat="1" ht="13.5" thickBot="1">
      <c r="A1" s="2"/>
      <c r="B1" s="2"/>
      <c r="C1" s="2"/>
      <c r="D1" s="2"/>
      <c r="E1" s="4"/>
      <c r="F1" s="2"/>
      <c r="G1" s="4"/>
      <c r="H1" s="2"/>
      <c r="I1" s="2"/>
      <c r="J1" s="3"/>
      <c r="K1" s="2"/>
      <c r="L1" s="55"/>
      <c r="M1" s="55"/>
      <c r="N1" s="2"/>
      <c r="O1" s="2"/>
      <c r="P1" s="4"/>
      <c r="Q1" s="2"/>
      <c r="R1" s="30"/>
      <c r="S1" s="2"/>
      <c r="T1" s="30"/>
      <c r="U1" s="2"/>
      <c r="V1" s="2"/>
      <c r="W1" s="2"/>
      <c r="X1" s="2"/>
      <c r="Y1" s="2"/>
      <c r="Z1" s="2"/>
    </row>
    <row r="2" spans="1:26" s="10" customFormat="1">
      <c r="A2" s="2"/>
      <c r="B2" s="5"/>
      <c r="C2" s="18"/>
      <c r="D2" s="18"/>
      <c r="E2" s="52"/>
      <c r="F2" s="18"/>
      <c r="G2" s="52"/>
      <c r="H2" s="47"/>
      <c r="I2" s="18"/>
      <c r="J2" s="286" t="s">
        <v>0</v>
      </c>
      <c r="K2" s="286"/>
      <c r="L2" s="286"/>
      <c r="M2" s="56"/>
      <c r="N2" s="6"/>
      <c r="O2" s="16"/>
      <c r="P2" s="7"/>
      <c r="Q2" s="6"/>
      <c r="R2" s="31"/>
      <c r="S2" s="6"/>
      <c r="T2" s="31"/>
      <c r="U2" s="16"/>
      <c r="V2" s="7"/>
      <c r="W2" s="6"/>
      <c r="X2" s="6"/>
      <c r="Y2" s="24"/>
      <c r="Z2" s="2"/>
    </row>
    <row r="3" spans="1:26" s="10" customFormat="1">
      <c r="A3" s="2"/>
      <c r="B3" s="8"/>
      <c r="C3" s="9"/>
      <c r="D3" s="9"/>
      <c r="E3" s="9"/>
      <c r="F3" s="9"/>
      <c r="G3" s="9"/>
      <c r="H3" s="40"/>
      <c r="I3" s="9"/>
      <c r="J3" s="287"/>
      <c r="K3" s="287"/>
      <c r="L3" s="287"/>
      <c r="M3" s="57"/>
      <c r="P3" s="11"/>
      <c r="R3" s="92"/>
      <c r="T3" s="32"/>
      <c r="U3" s="17"/>
      <c r="V3" s="11"/>
      <c r="W3" s="12"/>
      <c r="X3" s="12"/>
      <c r="Y3" s="25"/>
      <c r="Z3" s="2"/>
    </row>
    <row r="4" spans="1:26" s="10" customFormat="1">
      <c r="A4" s="2"/>
      <c r="B4" s="13"/>
      <c r="C4" s="14"/>
      <c r="D4" s="14"/>
      <c r="E4" s="9"/>
      <c r="F4" s="14"/>
      <c r="G4" s="9"/>
      <c r="H4" s="39"/>
      <c r="I4" s="14"/>
      <c r="J4" s="287"/>
      <c r="K4" s="287"/>
      <c r="L4" s="287"/>
      <c r="M4" s="58"/>
      <c r="N4" s="12"/>
      <c r="O4" s="12"/>
      <c r="P4" s="17"/>
      <c r="Q4" s="12"/>
      <c r="R4" s="32"/>
      <c r="S4" s="12"/>
      <c r="T4" s="32"/>
      <c r="U4" s="23"/>
      <c r="V4" s="46"/>
      <c r="W4" s="12"/>
      <c r="X4" s="12"/>
      <c r="Y4" s="25"/>
      <c r="Z4" s="2"/>
    </row>
    <row r="5" spans="1:26" s="10" customFormat="1" ht="24" thickBot="1">
      <c r="A5" s="2"/>
      <c r="B5" s="48"/>
      <c r="C5" s="19"/>
      <c r="D5" s="19"/>
      <c r="E5" s="53"/>
      <c r="F5" s="19"/>
      <c r="G5" s="53"/>
      <c r="H5" s="49"/>
      <c r="I5" s="38"/>
      <c r="J5" s="288"/>
      <c r="K5" s="288"/>
      <c r="L5" s="288"/>
      <c r="M5" s="105"/>
      <c r="N5" s="19"/>
      <c r="O5" s="19"/>
      <c r="P5" s="19"/>
      <c r="Q5" s="19"/>
      <c r="R5" s="33"/>
      <c r="S5" s="19"/>
      <c r="T5" s="33"/>
      <c r="U5" s="19"/>
      <c r="V5" s="49"/>
      <c r="W5" s="26"/>
      <c r="X5" s="26"/>
      <c r="Y5" s="27"/>
      <c r="Z5" s="2"/>
    </row>
    <row r="6" spans="1:26" s="10" customFormat="1" ht="13.5" thickBot="1">
      <c r="A6" s="2"/>
      <c r="B6" s="2"/>
      <c r="C6" s="2"/>
      <c r="D6" s="2"/>
      <c r="E6" s="4"/>
      <c r="F6" s="2"/>
      <c r="G6" s="4"/>
      <c r="H6" s="2"/>
      <c r="I6" s="2"/>
      <c r="J6" s="2"/>
      <c r="K6" s="2"/>
      <c r="L6" s="55"/>
      <c r="M6" s="55"/>
      <c r="N6" s="2"/>
      <c r="O6" s="2"/>
      <c r="P6" s="2"/>
      <c r="Q6" s="2"/>
      <c r="R6" s="30"/>
      <c r="S6" s="2"/>
      <c r="T6" s="2"/>
      <c r="U6" s="2"/>
      <c r="V6" s="2"/>
      <c r="W6" s="2"/>
      <c r="X6" s="2"/>
      <c r="Y6" s="2"/>
      <c r="Z6" s="2"/>
    </row>
    <row r="7" spans="1:26" s="10" customFormat="1" ht="13.5" thickBot="1">
      <c r="A7" s="2"/>
      <c r="B7" s="289" t="s">
        <v>1</v>
      </c>
      <c r="C7" s="290"/>
      <c r="D7" s="290"/>
      <c r="E7" s="290"/>
      <c r="F7" s="290"/>
      <c r="G7" s="291"/>
      <c r="H7" s="2"/>
      <c r="I7" s="292" t="s">
        <v>2</v>
      </c>
      <c r="J7" s="293"/>
      <c r="K7" s="293"/>
      <c r="L7" s="294"/>
      <c r="M7" s="294"/>
      <c r="N7" s="293"/>
      <c r="O7" s="293"/>
      <c r="P7" s="293"/>
      <c r="Q7" s="293"/>
      <c r="R7" s="293"/>
      <c r="S7" s="293"/>
      <c r="T7" s="293"/>
      <c r="U7" s="295"/>
      <c r="V7" s="2"/>
      <c r="W7" s="292" t="s">
        <v>3</v>
      </c>
      <c r="X7" s="293"/>
      <c r="Y7" s="296"/>
      <c r="Z7" s="2"/>
    </row>
    <row r="8" spans="1:26" ht="38.25">
      <c r="A8" s="2"/>
      <c r="B8" s="44" t="s">
        <v>4</v>
      </c>
      <c r="C8" s="36" t="s">
        <v>5</v>
      </c>
      <c r="D8" s="36" t="s">
        <v>6</v>
      </c>
      <c r="E8" s="36" t="s">
        <v>7</v>
      </c>
      <c r="F8" s="36" t="s">
        <v>8</v>
      </c>
      <c r="G8" s="36" t="s">
        <v>9</v>
      </c>
      <c r="H8" s="2"/>
      <c r="I8" s="44" t="s">
        <v>10</v>
      </c>
      <c r="J8" s="37" t="s">
        <v>11</v>
      </c>
      <c r="K8" s="37" t="s">
        <v>12</v>
      </c>
      <c r="L8" s="37" t="s">
        <v>13</v>
      </c>
      <c r="M8" s="37" t="s">
        <v>14</v>
      </c>
      <c r="N8" s="37" t="s">
        <v>15</v>
      </c>
      <c r="O8" s="37" t="s">
        <v>16</v>
      </c>
      <c r="P8" s="37" t="s">
        <v>17</v>
      </c>
      <c r="Q8" s="37" t="s">
        <v>18</v>
      </c>
      <c r="R8" s="37" t="s">
        <v>19</v>
      </c>
      <c r="S8" s="37" t="s">
        <v>20</v>
      </c>
      <c r="T8" s="36" t="s">
        <v>21</v>
      </c>
      <c r="U8" s="45" t="s">
        <v>22</v>
      </c>
      <c r="V8" s="2"/>
      <c r="W8" s="44" t="s">
        <v>23</v>
      </c>
      <c r="X8" s="36" t="s">
        <v>24</v>
      </c>
      <c r="Y8" s="45" t="s">
        <v>25</v>
      </c>
      <c r="Z8" s="2"/>
    </row>
    <row r="9" spans="1:26" ht="33.75">
      <c r="A9" s="2"/>
      <c r="B9" s="29" t="s">
        <v>228</v>
      </c>
      <c r="C9" s="29" t="s">
        <v>228</v>
      </c>
      <c r="D9" s="29" t="s">
        <v>229</v>
      </c>
      <c r="E9" s="28" t="s">
        <v>230</v>
      </c>
      <c r="F9" s="29" t="s">
        <v>229</v>
      </c>
      <c r="G9" s="28" t="s">
        <v>230</v>
      </c>
      <c r="H9" s="2"/>
      <c r="I9" s="28" t="s">
        <v>231</v>
      </c>
      <c r="J9" s="28" t="s">
        <v>232</v>
      </c>
      <c r="K9" s="28" t="s">
        <v>233</v>
      </c>
      <c r="L9" s="29" t="s">
        <v>35</v>
      </c>
      <c r="M9" s="29" t="s">
        <v>36</v>
      </c>
      <c r="N9" s="28" t="s">
        <v>234</v>
      </c>
      <c r="O9" s="29" t="s">
        <v>235</v>
      </c>
      <c r="P9" s="29" t="s">
        <v>236</v>
      </c>
      <c r="Q9" s="29" t="s">
        <v>39</v>
      </c>
      <c r="R9" s="29" t="s">
        <v>40</v>
      </c>
      <c r="S9" s="29" t="s">
        <v>41</v>
      </c>
      <c r="T9" s="34">
        <v>0.85</v>
      </c>
      <c r="U9" s="29" t="s">
        <v>42</v>
      </c>
      <c r="V9" s="2"/>
      <c r="W9" s="50"/>
      <c r="X9" s="29"/>
      <c r="Y9" s="51"/>
    </row>
    <row r="10" spans="1:26" ht="33.75">
      <c r="B10" s="29" t="s">
        <v>228</v>
      </c>
      <c r="C10" s="29" t="s">
        <v>228</v>
      </c>
      <c r="D10" s="29" t="s">
        <v>229</v>
      </c>
      <c r="E10" s="28" t="s">
        <v>230</v>
      </c>
      <c r="F10" s="29" t="s">
        <v>229</v>
      </c>
      <c r="G10" s="28" t="s">
        <v>230</v>
      </c>
      <c r="H10" s="2"/>
      <c r="I10" s="28" t="s">
        <v>237</v>
      </c>
      <c r="J10" s="28" t="s">
        <v>238</v>
      </c>
      <c r="K10" s="28" t="s">
        <v>239</v>
      </c>
      <c r="L10" s="29" t="s">
        <v>35</v>
      </c>
      <c r="M10" s="102" t="s">
        <v>36</v>
      </c>
      <c r="N10" s="28" t="s">
        <v>240</v>
      </c>
      <c r="O10" s="29" t="s">
        <v>241</v>
      </c>
      <c r="P10" s="29" t="s">
        <v>242</v>
      </c>
      <c r="Q10" s="29" t="s">
        <v>39</v>
      </c>
      <c r="R10" s="29" t="s">
        <v>40</v>
      </c>
      <c r="S10" s="29" t="s">
        <v>41</v>
      </c>
      <c r="T10" s="34">
        <v>0.85</v>
      </c>
      <c r="U10" s="29" t="s">
        <v>42</v>
      </c>
      <c r="V10" s="2"/>
      <c r="W10" s="50"/>
      <c r="X10" s="29"/>
      <c r="Y10" s="51"/>
    </row>
  </sheetData>
  <mergeCells count="4">
    <mergeCell ref="J2:L5"/>
    <mergeCell ref="B7:G7"/>
    <mergeCell ref="I7:U7"/>
    <mergeCell ref="W7:Y7"/>
  </mergeCells>
  <printOptions horizontalCentered="1" verticalCentered="1"/>
  <pageMargins left="0.59055118110236227" right="0" top="0.98425196850393704" bottom="0.98425196850393704" header="0.51181102362204722" footer="0.51181102362204722"/>
  <pageSetup paperSize="5" scale="70" orientation="landscape" r:id="rId1"/>
  <headerFooter>
    <oddFooter>&amp;L&amp;8DE-GE-PR-03-FR-05 V03 F04-12-2014</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1"/>
  <sheetViews>
    <sheetView showGridLines="0" zoomScale="130" zoomScaleNormal="130" workbookViewId="0">
      <pane ySplit="8" topLeftCell="A9" activePane="bottomLeft" state="frozen"/>
      <selection pane="bottomLeft" activeCell="J12" sqref="J12:U14"/>
      <selection activeCell="J12" sqref="J12:U14"/>
    </sheetView>
  </sheetViews>
  <sheetFormatPr defaultColWidth="11.42578125" defaultRowHeight="12.75"/>
  <cols>
    <col min="1" max="1" width="3" style="1" bestFit="1" customWidth="1"/>
    <col min="2" max="2" width="12" style="1" bestFit="1" customWidth="1"/>
    <col min="3" max="4" width="15" style="1" customWidth="1"/>
    <col min="5" max="5" width="15" style="54" customWidth="1"/>
    <col min="6" max="6" width="15" style="1" customWidth="1"/>
    <col min="7" max="7" width="15" style="54" customWidth="1"/>
    <col min="8" max="8" width="2.5703125" style="1" customWidth="1"/>
    <col min="9" max="9" width="15.85546875" style="1" customWidth="1"/>
    <col min="10" max="10" width="26.28515625" style="1" customWidth="1"/>
    <col min="11" max="11" width="40.85546875" style="1" customWidth="1"/>
    <col min="12" max="12" width="10.7109375" style="35" customWidth="1"/>
    <col min="13" max="13" width="10.5703125" style="35" customWidth="1"/>
    <col min="14" max="14" width="38.7109375" style="1" customWidth="1"/>
    <col min="15" max="16" width="11.85546875" style="1" customWidth="1"/>
    <col min="17" max="17" width="13.28515625" style="1" customWidth="1"/>
    <col min="18" max="18" width="13.5703125" style="35" customWidth="1"/>
    <col min="19" max="19" width="13.5703125" style="1" customWidth="1"/>
    <col min="20" max="20" width="14.7109375" style="35" customWidth="1"/>
    <col min="21" max="21" width="13.42578125" style="35" bestFit="1" customWidth="1"/>
    <col min="22" max="22" width="2.7109375" style="1" customWidth="1"/>
    <col min="23" max="25" width="23" style="1" customWidth="1"/>
    <col min="26" max="26" width="3.140625" style="1" customWidth="1"/>
    <col min="27" max="16384" width="11.42578125" style="1"/>
  </cols>
  <sheetData>
    <row r="1" spans="1:26" s="10" customFormat="1" ht="13.5" hidden="1" thickBot="1">
      <c r="A1" s="2"/>
      <c r="B1" s="2"/>
      <c r="C1" s="2"/>
      <c r="D1" s="2"/>
      <c r="E1" s="4"/>
      <c r="F1" s="2"/>
      <c r="G1" s="4"/>
      <c r="H1" s="2"/>
      <c r="I1" s="2"/>
      <c r="J1" s="3"/>
      <c r="K1" s="2"/>
      <c r="L1" s="55"/>
      <c r="M1" s="55"/>
      <c r="N1" s="2"/>
      <c r="O1" s="2"/>
      <c r="P1" s="4"/>
      <c r="Q1" s="2"/>
      <c r="R1" s="30"/>
      <c r="S1" s="2"/>
      <c r="T1" s="30"/>
      <c r="U1" s="2"/>
      <c r="V1" s="2"/>
      <c r="W1" s="2"/>
      <c r="X1" s="2"/>
      <c r="Y1" s="2"/>
      <c r="Z1" s="2"/>
    </row>
    <row r="2" spans="1:26" s="10" customFormat="1" ht="13.5" hidden="1" thickBot="1">
      <c r="A2" s="2"/>
      <c r="B2" s="5"/>
      <c r="C2" s="18"/>
      <c r="D2" s="18"/>
      <c r="E2" s="52"/>
      <c r="F2" s="18"/>
      <c r="G2" s="52"/>
      <c r="H2" s="47"/>
      <c r="I2" s="18"/>
      <c r="J2" s="286" t="s">
        <v>0</v>
      </c>
      <c r="K2" s="286"/>
      <c r="L2" s="286"/>
      <c r="M2" s="56"/>
      <c r="N2" s="6"/>
      <c r="O2" s="16"/>
      <c r="P2" s="7"/>
      <c r="Q2" s="6"/>
      <c r="R2" s="31"/>
      <c r="S2" s="6"/>
      <c r="T2" s="31"/>
      <c r="U2" s="16"/>
      <c r="V2" s="7"/>
      <c r="W2" s="6"/>
      <c r="X2" s="6"/>
      <c r="Y2" s="24"/>
      <c r="Z2" s="2"/>
    </row>
    <row r="3" spans="1:26" s="10" customFormat="1" ht="13.5" hidden="1" thickBot="1">
      <c r="A3" s="2"/>
      <c r="B3" s="8"/>
      <c r="C3" s="9"/>
      <c r="D3" s="9"/>
      <c r="E3" s="9"/>
      <c r="F3" s="9"/>
      <c r="G3" s="9"/>
      <c r="H3" s="40"/>
      <c r="I3" s="9"/>
      <c r="J3" s="287"/>
      <c r="K3" s="287"/>
      <c r="L3" s="287"/>
      <c r="M3" s="57"/>
      <c r="P3" s="11"/>
      <c r="R3" s="92"/>
      <c r="T3" s="32"/>
      <c r="U3" s="17"/>
      <c r="V3" s="11"/>
      <c r="W3" s="12"/>
      <c r="X3" s="12"/>
      <c r="Y3" s="25"/>
      <c r="Z3" s="2"/>
    </row>
    <row r="4" spans="1:26" s="10" customFormat="1" ht="13.5" hidden="1" thickBot="1">
      <c r="A4" s="2"/>
      <c r="B4" s="13"/>
      <c r="C4" s="14"/>
      <c r="D4" s="14"/>
      <c r="E4" s="9"/>
      <c r="F4" s="14"/>
      <c r="G4" s="9"/>
      <c r="H4" s="39"/>
      <c r="I4" s="14"/>
      <c r="J4" s="287"/>
      <c r="K4" s="287"/>
      <c r="L4" s="287"/>
      <c r="M4" s="58"/>
      <c r="N4" s="12"/>
      <c r="O4" s="12"/>
      <c r="P4" s="17"/>
      <c r="Q4" s="12"/>
      <c r="R4" s="32"/>
      <c r="S4" s="12"/>
      <c r="T4" s="32"/>
      <c r="U4" s="23"/>
      <c r="V4" s="46"/>
      <c r="W4" s="12"/>
      <c r="X4" s="12"/>
      <c r="Y4" s="25"/>
      <c r="Z4" s="2"/>
    </row>
    <row r="5" spans="1:26" s="10" customFormat="1" ht="24" hidden="1" thickBot="1">
      <c r="A5" s="2"/>
      <c r="B5" s="48"/>
      <c r="C5" s="19"/>
      <c r="D5" s="19"/>
      <c r="E5" s="53"/>
      <c r="F5" s="19"/>
      <c r="G5" s="53"/>
      <c r="H5" s="49"/>
      <c r="I5" s="38"/>
      <c r="J5" s="288"/>
      <c r="K5" s="288"/>
      <c r="L5" s="288"/>
      <c r="M5" s="105"/>
      <c r="N5" s="19"/>
      <c r="O5" s="19"/>
      <c r="P5" s="19"/>
      <c r="Q5" s="19"/>
      <c r="R5" s="33"/>
      <c r="S5" s="19"/>
      <c r="T5" s="33"/>
      <c r="U5" s="19"/>
      <c r="V5" s="49"/>
      <c r="W5" s="26"/>
      <c r="X5" s="26"/>
      <c r="Y5" s="27"/>
      <c r="Z5" s="2"/>
    </row>
    <row r="6" spans="1:26" s="10" customFormat="1" ht="13.5" hidden="1" thickBot="1">
      <c r="A6" s="2"/>
      <c r="B6" s="2"/>
      <c r="C6" s="2"/>
      <c r="D6" s="2"/>
      <c r="E6" s="4"/>
      <c r="F6" s="2"/>
      <c r="G6" s="4"/>
      <c r="H6" s="2"/>
      <c r="I6" s="2"/>
      <c r="J6" s="2"/>
      <c r="K6" s="2"/>
      <c r="L6" s="55"/>
      <c r="M6" s="55"/>
      <c r="N6" s="2"/>
      <c r="O6" s="2"/>
      <c r="P6" s="2"/>
      <c r="Q6" s="2"/>
      <c r="R6" s="30"/>
      <c r="S6" s="2"/>
      <c r="T6" s="2"/>
      <c r="U6" s="2"/>
      <c r="V6" s="2"/>
      <c r="W6" s="2"/>
      <c r="X6" s="2"/>
      <c r="Y6" s="2"/>
      <c r="Z6" s="2"/>
    </row>
    <row r="7" spans="1:26" s="10" customFormat="1" ht="13.5" thickBot="1">
      <c r="A7" s="2"/>
      <c r="B7" s="289" t="s">
        <v>1</v>
      </c>
      <c r="C7" s="290"/>
      <c r="D7" s="290"/>
      <c r="E7" s="290"/>
      <c r="F7" s="290"/>
      <c r="G7" s="291"/>
      <c r="H7" s="2"/>
      <c r="I7" s="292" t="s">
        <v>2</v>
      </c>
      <c r="J7" s="293"/>
      <c r="K7" s="293"/>
      <c r="L7" s="294"/>
      <c r="M7" s="294"/>
      <c r="N7" s="293"/>
      <c r="O7" s="293"/>
      <c r="P7" s="293"/>
      <c r="Q7" s="293"/>
      <c r="R7" s="293"/>
      <c r="S7" s="293"/>
      <c r="T7" s="293"/>
      <c r="U7" s="295"/>
      <c r="V7" s="2"/>
      <c r="W7" s="292" t="s">
        <v>3</v>
      </c>
      <c r="X7" s="293"/>
      <c r="Y7" s="296"/>
      <c r="Z7" s="2"/>
    </row>
    <row r="8" spans="1:26" ht="38.25">
      <c r="A8" s="2"/>
      <c r="B8" s="44" t="s">
        <v>4</v>
      </c>
      <c r="C8" s="36" t="s">
        <v>5</v>
      </c>
      <c r="D8" s="36" t="s">
        <v>6</v>
      </c>
      <c r="E8" s="36" t="s">
        <v>7</v>
      </c>
      <c r="F8" s="36" t="s">
        <v>8</v>
      </c>
      <c r="G8" s="36" t="s">
        <v>9</v>
      </c>
      <c r="H8" s="2"/>
      <c r="I8" s="44" t="s">
        <v>10</v>
      </c>
      <c r="J8" s="37" t="s">
        <v>11</v>
      </c>
      <c r="K8" s="37" t="s">
        <v>12</v>
      </c>
      <c r="L8" s="37" t="s">
        <v>13</v>
      </c>
      <c r="M8" s="37" t="s">
        <v>14</v>
      </c>
      <c r="N8" s="37" t="s">
        <v>15</v>
      </c>
      <c r="O8" s="37" t="s">
        <v>16</v>
      </c>
      <c r="P8" s="37" t="s">
        <v>17</v>
      </c>
      <c r="Q8" s="37" t="s">
        <v>18</v>
      </c>
      <c r="R8" s="37" t="s">
        <v>19</v>
      </c>
      <c r="S8" s="37" t="s">
        <v>20</v>
      </c>
      <c r="T8" s="36" t="s">
        <v>21</v>
      </c>
      <c r="U8" s="45" t="s">
        <v>22</v>
      </c>
      <c r="V8" s="2"/>
      <c r="W8" s="44" t="s">
        <v>23</v>
      </c>
      <c r="X8" s="36" t="s">
        <v>24</v>
      </c>
      <c r="Y8" s="45" t="s">
        <v>25</v>
      </c>
      <c r="Z8" s="2"/>
    </row>
    <row r="9" spans="1:26" ht="45">
      <c r="B9" s="70" t="s">
        <v>243</v>
      </c>
      <c r="C9" s="70" t="s">
        <v>243</v>
      </c>
      <c r="D9" s="70" t="s">
        <v>244</v>
      </c>
      <c r="E9" s="71" t="s">
        <v>245</v>
      </c>
      <c r="F9" s="70" t="s">
        <v>244</v>
      </c>
      <c r="G9" s="71" t="s">
        <v>245</v>
      </c>
      <c r="H9" s="2"/>
      <c r="I9" s="60" t="s">
        <v>246</v>
      </c>
      <c r="J9" s="60" t="s">
        <v>247</v>
      </c>
      <c r="K9" s="70" t="s">
        <v>248</v>
      </c>
      <c r="L9" s="59" t="s">
        <v>35</v>
      </c>
      <c r="M9" s="73" t="s">
        <v>58</v>
      </c>
      <c r="N9" s="70" t="s">
        <v>249</v>
      </c>
      <c r="O9" s="70" t="s">
        <v>250</v>
      </c>
      <c r="P9" s="70" t="s">
        <v>250</v>
      </c>
      <c r="Q9" s="59" t="s">
        <v>39</v>
      </c>
      <c r="R9" s="73" t="s">
        <v>40</v>
      </c>
      <c r="S9" s="59" t="s">
        <v>41</v>
      </c>
      <c r="T9" s="74">
        <v>0.3</v>
      </c>
      <c r="U9" s="59" t="s">
        <v>42</v>
      </c>
      <c r="V9" s="2"/>
      <c r="W9" s="69"/>
      <c r="X9" s="70"/>
      <c r="Y9" s="75"/>
    </row>
    <row r="10" spans="1:26" ht="45">
      <c r="A10" s="2"/>
      <c r="B10" s="70" t="s">
        <v>243</v>
      </c>
      <c r="C10" s="70" t="s">
        <v>243</v>
      </c>
      <c r="D10" s="70" t="s">
        <v>244</v>
      </c>
      <c r="E10" s="71" t="s">
        <v>245</v>
      </c>
      <c r="F10" s="70" t="s">
        <v>244</v>
      </c>
      <c r="G10" s="71" t="s">
        <v>245</v>
      </c>
      <c r="H10" s="2"/>
      <c r="I10" s="60" t="s">
        <v>246</v>
      </c>
      <c r="J10" s="60" t="s">
        <v>251</v>
      </c>
      <c r="K10" s="70" t="s">
        <v>252</v>
      </c>
      <c r="L10" s="59" t="s">
        <v>35</v>
      </c>
      <c r="M10" s="73" t="s">
        <v>58</v>
      </c>
      <c r="N10" s="70" t="s">
        <v>253</v>
      </c>
      <c r="O10" s="70" t="s">
        <v>250</v>
      </c>
      <c r="P10" s="70" t="s">
        <v>250</v>
      </c>
      <c r="Q10" s="59" t="s">
        <v>39</v>
      </c>
      <c r="R10" s="73" t="s">
        <v>40</v>
      </c>
      <c r="S10" s="59" t="s">
        <v>41</v>
      </c>
      <c r="T10" s="74">
        <v>0.8</v>
      </c>
      <c r="U10" s="59" t="s">
        <v>42</v>
      </c>
      <c r="V10" s="2"/>
      <c r="W10" s="69"/>
      <c r="X10" s="70"/>
      <c r="Y10" s="75"/>
    </row>
    <row r="11" spans="1:26" ht="45">
      <c r="B11" s="70" t="s">
        <v>243</v>
      </c>
      <c r="C11" s="70" t="s">
        <v>243</v>
      </c>
      <c r="D11" s="70" t="s">
        <v>244</v>
      </c>
      <c r="E11" s="71" t="s">
        <v>245</v>
      </c>
      <c r="F11" s="70" t="s">
        <v>244</v>
      </c>
      <c r="G11" s="71" t="s">
        <v>245</v>
      </c>
      <c r="H11" s="2"/>
      <c r="I11" s="60" t="s">
        <v>246</v>
      </c>
      <c r="J11" s="60" t="s">
        <v>254</v>
      </c>
      <c r="K11" s="70" t="s">
        <v>255</v>
      </c>
      <c r="L11" s="59" t="s">
        <v>35</v>
      </c>
      <c r="M11" s="73" t="s">
        <v>36</v>
      </c>
      <c r="N11" s="70" t="s">
        <v>256</v>
      </c>
      <c r="O11" s="70" t="s">
        <v>250</v>
      </c>
      <c r="P11" s="70" t="s">
        <v>250</v>
      </c>
      <c r="Q11" s="59" t="s">
        <v>39</v>
      </c>
      <c r="R11" s="73" t="s">
        <v>40</v>
      </c>
      <c r="S11" s="59" t="s">
        <v>41</v>
      </c>
      <c r="T11" s="74">
        <v>0.8</v>
      </c>
      <c r="U11" s="59" t="s">
        <v>42</v>
      </c>
      <c r="V11" s="2"/>
      <c r="W11" s="70"/>
      <c r="X11" s="70"/>
      <c r="Y11" s="70"/>
    </row>
  </sheetData>
  <mergeCells count="4">
    <mergeCell ref="J2:L5"/>
    <mergeCell ref="B7:G7"/>
    <mergeCell ref="I7:U7"/>
    <mergeCell ref="W7:Y7"/>
  </mergeCells>
  <printOptions horizontalCentered="1" verticalCentered="1"/>
  <pageMargins left="0.59055118110236227" right="0" top="0.98425196850393704" bottom="0.98425196850393704" header="0.51181102362204722" footer="0.51181102362204722"/>
  <pageSetup paperSize="5" scale="70" orientation="landscape" r:id="rId1"/>
  <headerFooter>
    <oddFooter>&amp;L&amp;8DE-GE-PR-03-FR-05 V03 F04-12-2014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2"/>
  <sheetViews>
    <sheetView showGridLines="0" zoomScale="130" zoomScaleNormal="130" workbookViewId="0">
      <pane ySplit="8" topLeftCell="A9" activePane="bottomLeft" state="frozen"/>
      <selection pane="bottomLeft" activeCell="J12" sqref="J12:U14"/>
      <selection activeCell="J12" sqref="J12:U14"/>
    </sheetView>
  </sheetViews>
  <sheetFormatPr defaultColWidth="11.42578125" defaultRowHeight="12.75"/>
  <cols>
    <col min="1" max="1" width="3" style="1" bestFit="1" customWidth="1"/>
    <col min="2" max="2" width="12" style="1" bestFit="1" customWidth="1"/>
    <col min="3" max="4" width="15" style="1" customWidth="1"/>
    <col min="5" max="5" width="15" style="54" customWidth="1"/>
    <col min="6" max="6" width="15" style="1" customWidth="1"/>
    <col min="7" max="7" width="15" style="54" customWidth="1"/>
    <col min="8" max="8" width="2.5703125" style="1" customWidth="1"/>
    <col min="9" max="9" width="15.85546875" style="1" customWidth="1"/>
    <col min="10" max="10" width="26.28515625" style="1" customWidth="1"/>
    <col min="11" max="11" width="40.85546875" style="1" customWidth="1"/>
    <col min="12" max="12" width="10.7109375" style="35" customWidth="1"/>
    <col min="13" max="13" width="10.5703125" style="35" customWidth="1"/>
    <col min="14" max="14" width="38.7109375" style="1" customWidth="1"/>
    <col min="15" max="16" width="11.85546875" style="1" customWidth="1"/>
    <col min="17" max="17" width="13.28515625" style="1" customWidth="1"/>
    <col min="18" max="18" width="13.5703125" style="35" customWidth="1"/>
    <col min="19" max="19" width="13.5703125" style="1" customWidth="1"/>
    <col min="20" max="20" width="14.7109375" style="35" customWidth="1"/>
    <col min="21" max="21" width="13.42578125" style="35" bestFit="1" customWidth="1"/>
    <col min="22" max="22" width="2.7109375" style="1" customWidth="1"/>
    <col min="23" max="25" width="23" style="1" customWidth="1"/>
    <col min="26" max="26" width="3.140625" style="1" customWidth="1"/>
    <col min="27" max="16384" width="11.42578125" style="1"/>
  </cols>
  <sheetData>
    <row r="1" spans="1:26" s="10" customFormat="1" ht="13.5" thickBot="1">
      <c r="A1" s="2"/>
      <c r="B1" s="2"/>
      <c r="C1" s="2"/>
      <c r="D1" s="2"/>
      <c r="E1" s="4"/>
      <c r="F1" s="2"/>
      <c r="G1" s="4"/>
      <c r="H1" s="2"/>
      <c r="I1" s="2"/>
      <c r="J1" s="3"/>
      <c r="K1" s="2"/>
      <c r="L1" s="55"/>
      <c r="M1" s="55"/>
      <c r="N1" s="2"/>
      <c r="O1" s="2"/>
      <c r="P1" s="4"/>
      <c r="Q1" s="2"/>
      <c r="R1" s="30"/>
      <c r="S1" s="2"/>
      <c r="T1" s="30"/>
      <c r="U1" s="2"/>
      <c r="V1" s="2"/>
      <c r="W1" s="2"/>
      <c r="X1" s="2"/>
      <c r="Y1" s="2"/>
      <c r="Z1" s="2"/>
    </row>
    <row r="2" spans="1:26" s="10" customFormat="1">
      <c r="A2" s="2"/>
      <c r="B2" s="5"/>
      <c r="C2" s="18"/>
      <c r="D2" s="18"/>
      <c r="E2" s="52"/>
      <c r="F2" s="18"/>
      <c r="G2" s="52"/>
      <c r="H2" s="47"/>
      <c r="I2" s="18"/>
      <c r="J2" s="286" t="s">
        <v>0</v>
      </c>
      <c r="K2" s="286"/>
      <c r="L2" s="286"/>
      <c r="M2" s="56"/>
      <c r="N2" s="6"/>
      <c r="O2" s="16"/>
      <c r="P2" s="7"/>
      <c r="Q2" s="6"/>
      <c r="R2" s="31"/>
      <c r="S2" s="6"/>
      <c r="T2" s="31"/>
      <c r="U2" s="16"/>
      <c r="V2" s="7"/>
      <c r="W2" s="6"/>
      <c r="X2" s="6"/>
      <c r="Y2" s="24"/>
      <c r="Z2" s="2"/>
    </row>
    <row r="3" spans="1:26" s="10" customFormat="1">
      <c r="A3" s="2"/>
      <c r="B3" s="8"/>
      <c r="C3" s="9"/>
      <c r="D3" s="9"/>
      <c r="E3" s="9"/>
      <c r="F3" s="9"/>
      <c r="G3" s="9"/>
      <c r="H3" s="40"/>
      <c r="I3" s="9"/>
      <c r="J3" s="287"/>
      <c r="K3" s="287"/>
      <c r="L3" s="287"/>
      <c r="M3" s="57"/>
      <c r="P3" s="11"/>
      <c r="R3" s="92"/>
      <c r="T3" s="32"/>
      <c r="U3" s="17"/>
      <c r="V3" s="11"/>
      <c r="W3" s="12"/>
      <c r="X3" s="12"/>
      <c r="Y3" s="25"/>
      <c r="Z3" s="2"/>
    </row>
    <row r="4" spans="1:26" s="10" customFormat="1">
      <c r="A4" s="2"/>
      <c r="B4" s="13"/>
      <c r="C4" s="14"/>
      <c r="D4" s="14"/>
      <c r="E4" s="9"/>
      <c r="F4" s="14"/>
      <c r="G4" s="9"/>
      <c r="H4" s="39"/>
      <c r="I4" s="14"/>
      <c r="J4" s="287"/>
      <c r="K4" s="287"/>
      <c r="L4" s="287"/>
      <c r="M4" s="58"/>
      <c r="N4" s="12"/>
      <c r="O4" s="12"/>
      <c r="P4" s="17"/>
      <c r="Q4" s="12"/>
      <c r="R4" s="32"/>
      <c r="S4" s="12"/>
      <c r="T4" s="32"/>
      <c r="U4" s="23"/>
      <c r="V4" s="46"/>
      <c r="W4" s="12"/>
      <c r="X4" s="12"/>
      <c r="Y4" s="25"/>
      <c r="Z4" s="2"/>
    </row>
    <row r="5" spans="1:26" s="10" customFormat="1" ht="24" thickBot="1">
      <c r="A5" s="2"/>
      <c r="B5" s="48"/>
      <c r="C5" s="19"/>
      <c r="D5" s="19"/>
      <c r="E5" s="53"/>
      <c r="F5" s="19"/>
      <c r="G5" s="53"/>
      <c r="H5" s="49"/>
      <c r="I5" s="38"/>
      <c r="J5" s="288"/>
      <c r="K5" s="288"/>
      <c r="L5" s="288"/>
      <c r="M5" s="105"/>
      <c r="N5" s="19"/>
      <c r="O5" s="19"/>
      <c r="P5" s="19"/>
      <c r="Q5" s="19"/>
      <c r="R5" s="33"/>
      <c r="S5" s="19"/>
      <c r="T5" s="33"/>
      <c r="U5" s="19"/>
      <c r="V5" s="49"/>
      <c r="W5" s="26"/>
      <c r="X5" s="26"/>
      <c r="Y5" s="27"/>
      <c r="Z5" s="2"/>
    </row>
    <row r="6" spans="1:26" s="10" customFormat="1" ht="13.5" thickBot="1">
      <c r="A6" s="2"/>
      <c r="B6" s="2"/>
      <c r="C6" s="2"/>
      <c r="D6" s="2"/>
      <c r="E6" s="4"/>
      <c r="F6" s="2"/>
      <c r="G6" s="4"/>
      <c r="H6" s="2"/>
      <c r="I6" s="2"/>
      <c r="J6" s="2"/>
      <c r="K6" s="2"/>
      <c r="L6" s="55"/>
      <c r="M6" s="55"/>
      <c r="N6" s="2"/>
      <c r="O6" s="2"/>
      <c r="P6" s="2"/>
      <c r="Q6" s="2"/>
      <c r="R6" s="30"/>
      <c r="S6" s="2"/>
      <c r="T6" s="2"/>
      <c r="U6" s="2"/>
      <c r="V6" s="2"/>
      <c r="W6" s="2"/>
      <c r="X6" s="2"/>
      <c r="Y6" s="2"/>
      <c r="Z6" s="2"/>
    </row>
    <row r="7" spans="1:26" s="10" customFormat="1" ht="13.5" thickBot="1">
      <c r="A7" s="2"/>
      <c r="B7" s="289" t="s">
        <v>1</v>
      </c>
      <c r="C7" s="290"/>
      <c r="D7" s="290"/>
      <c r="E7" s="290"/>
      <c r="F7" s="290"/>
      <c r="G7" s="291"/>
      <c r="H7" s="2"/>
      <c r="I7" s="292" t="s">
        <v>2</v>
      </c>
      <c r="J7" s="293"/>
      <c r="K7" s="293"/>
      <c r="L7" s="294"/>
      <c r="M7" s="294"/>
      <c r="N7" s="293"/>
      <c r="O7" s="293"/>
      <c r="P7" s="293"/>
      <c r="Q7" s="293"/>
      <c r="R7" s="293"/>
      <c r="S7" s="293"/>
      <c r="T7" s="293"/>
      <c r="U7" s="295"/>
      <c r="V7" s="2"/>
      <c r="W7" s="292" t="s">
        <v>3</v>
      </c>
      <c r="X7" s="293"/>
      <c r="Y7" s="296"/>
      <c r="Z7" s="2"/>
    </row>
    <row r="8" spans="1:26" ht="38.25">
      <c r="A8" s="2"/>
      <c r="B8" s="44" t="s">
        <v>4</v>
      </c>
      <c r="C8" s="36" t="s">
        <v>5</v>
      </c>
      <c r="D8" s="36" t="s">
        <v>6</v>
      </c>
      <c r="E8" s="36" t="s">
        <v>7</v>
      </c>
      <c r="F8" s="36" t="s">
        <v>8</v>
      </c>
      <c r="G8" s="36" t="s">
        <v>9</v>
      </c>
      <c r="H8" s="2"/>
      <c r="I8" s="44" t="s">
        <v>10</v>
      </c>
      <c r="J8" s="37" t="s">
        <v>11</v>
      </c>
      <c r="K8" s="37" t="s">
        <v>12</v>
      </c>
      <c r="L8" s="37" t="s">
        <v>13</v>
      </c>
      <c r="M8" s="37" t="s">
        <v>14</v>
      </c>
      <c r="N8" s="37" t="s">
        <v>15</v>
      </c>
      <c r="O8" s="37" t="s">
        <v>16</v>
      </c>
      <c r="P8" s="37" t="s">
        <v>17</v>
      </c>
      <c r="Q8" s="37" t="s">
        <v>18</v>
      </c>
      <c r="R8" s="37" t="s">
        <v>19</v>
      </c>
      <c r="S8" s="37" t="s">
        <v>20</v>
      </c>
      <c r="T8" s="36" t="s">
        <v>21</v>
      </c>
      <c r="U8" s="45" t="s">
        <v>22</v>
      </c>
      <c r="V8" s="2"/>
      <c r="W8" s="44" t="s">
        <v>23</v>
      </c>
      <c r="X8" s="36" t="s">
        <v>24</v>
      </c>
      <c r="Y8" s="45" t="s">
        <v>25</v>
      </c>
      <c r="Z8" s="2"/>
    </row>
    <row r="9" spans="1:26" ht="45">
      <c r="B9" s="76" t="s">
        <v>257</v>
      </c>
      <c r="C9" s="77" t="s">
        <v>118</v>
      </c>
      <c r="D9" s="77" t="s">
        <v>258</v>
      </c>
      <c r="E9" s="78" t="s">
        <v>259</v>
      </c>
      <c r="F9" s="77" t="s">
        <v>260</v>
      </c>
      <c r="G9" s="79" t="s">
        <v>261</v>
      </c>
      <c r="H9" s="2"/>
      <c r="I9" s="41" t="s">
        <v>262</v>
      </c>
      <c r="J9" s="22" t="s">
        <v>263</v>
      </c>
      <c r="K9" s="85" t="s">
        <v>264</v>
      </c>
      <c r="L9" s="87" t="s">
        <v>35</v>
      </c>
      <c r="M9" s="87" t="s">
        <v>36</v>
      </c>
      <c r="N9" s="85" t="s">
        <v>265</v>
      </c>
      <c r="O9" s="85" t="s">
        <v>266</v>
      </c>
      <c r="P9" s="85" t="s">
        <v>266</v>
      </c>
      <c r="Q9" s="87" t="s">
        <v>39</v>
      </c>
      <c r="R9" s="87" t="s">
        <v>40</v>
      </c>
      <c r="S9" s="87" t="s">
        <v>41</v>
      </c>
      <c r="T9" s="99">
        <v>0.8</v>
      </c>
      <c r="U9" s="87" t="s">
        <v>42</v>
      </c>
      <c r="V9" s="2"/>
      <c r="W9" s="84"/>
      <c r="X9" s="85"/>
      <c r="Y9" s="91"/>
    </row>
    <row r="10" spans="1:26" ht="56.25">
      <c r="B10" s="76" t="s">
        <v>257</v>
      </c>
      <c r="C10" s="77" t="s">
        <v>267</v>
      </c>
      <c r="D10" s="77" t="s">
        <v>258</v>
      </c>
      <c r="E10" s="78" t="s">
        <v>259</v>
      </c>
      <c r="F10" s="77" t="s">
        <v>268</v>
      </c>
      <c r="G10" s="79" t="s">
        <v>269</v>
      </c>
      <c r="H10" s="2"/>
      <c r="I10" s="41" t="s">
        <v>270</v>
      </c>
      <c r="J10" s="22" t="s">
        <v>271</v>
      </c>
      <c r="K10" s="85" t="s">
        <v>272</v>
      </c>
      <c r="L10" s="87" t="s">
        <v>35</v>
      </c>
      <c r="M10" s="87" t="s">
        <v>36</v>
      </c>
      <c r="N10" s="85" t="s">
        <v>273</v>
      </c>
      <c r="O10" s="85" t="s">
        <v>274</v>
      </c>
      <c r="P10" s="85" t="s">
        <v>274</v>
      </c>
      <c r="Q10" s="87" t="s">
        <v>39</v>
      </c>
      <c r="R10" s="87" t="s">
        <v>40</v>
      </c>
      <c r="S10" s="87" t="s">
        <v>41</v>
      </c>
      <c r="T10" s="99">
        <v>0.7</v>
      </c>
      <c r="U10" s="87" t="s">
        <v>42</v>
      </c>
      <c r="V10" s="2"/>
      <c r="W10" s="84"/>
      <c r="X10" s="85"/>
      <c r="Y10" s="91"/>
    </row>
    <row r="11" spans="1:26" ht="45">
      <c r="B11" s="76" t="s">
        <v>257</v>
      </c>
      <c r="C11" s="77" t="s">
        <v>267</v>
      </c>
      <c r="D11" s="77" t="s">
        <v>258</v>
      </c>
      <c r="E11" s="78" t="s">
        <v>259</v>
      </c>
      <c r="F11" s="77" t="s">
        <v>268</v>
      </c>
      <c r="G11" s="79" t="s">
        <v>269</v>
      </c>
      <c r="H11" s="2"/>
      <c r="I11" s="41" t="s">
        <v>275</v>
      </c>
      <c r="J11" s="22" t="s">
        <v>276</v>
      </c>
      <c r="K11" s="85" t="s">
        <v>277</v>
      </c>
      <c r="L11" s="87" t="s">
        <v>35</v>
      </c>
      <c r="M11" s="87" t="s">
        <v>36</v>
      </c>
      <c r="N11" s="85" t="s">
        <v>278</v>
      </c>
      <c r="O11" s="85" t="s">
        <v>279</v>
      </c>
      <c r="P11" s="85" t="s">
        <v>279</v>
      </c>
      <c r="Q11" s="87" t="s">
        <v>39</v>
      </c>
      <c r="R11" s="87" t="s">
        <v>40</v>
      </c>
      <c r="S11" s="87" t="s">
        <v>41</v>
      </c>
      <c r="T11" s="99">
        <v>0.9</v>
      </c>
      <c r="U11" s="87" t="s">
        <v>42</v>
      </c>
      <c r="V11" s="2"/>
      <c r="W11" s="84"/>
      <c r="X11" s="85"/>
      <c r="Y11" s="91"/>
    </row>
    <row r="12" spans="1:26" ht="56.25">
      <c r="B12" s="76" t="s">
        <v>257</v>
      </c>
      <c r="C12" s="77" t="s">
        <v>118</v>
      </c>
      <c r="D12" s="77" t="s">
        <v>258</v>
      </c>
      <c r="E12" s="78" t="s">
        <v>259</v>
      </c>
      <c r="F12" s="77" t="s">
        <v>280</v>
      </c>
      <c r="G12" s="79" t="s">
        <v>281</v>
      </c>
      <c r="H12" s="2"/>
      <c r="I12" s="22" t="s">
        <v>282</v>
      </c>
      <c r="J12" s="22" t="s">
        <v>283</v>
      </c>
      <c r="K12" s="85" t="s">
        <v>284</v>
      </c>
      <c r="L12" s="87" t="s">
        <v>35</v>
      </c>
      <c r="M12" s="20" t="s">
        <v>36</v>
      </c>
      <c r="N12" s="85" t="s">
        <v>285</v>
      </c>
      <c r="O12" s="95" t="s">
        <v>286</v>
      </c>
      <c r="P12" s="95" t="s">
        <v>286</v>
      </c>
      <c r="Q12" s="87" t="s">
        <v>39</v>
      </c>
      <c r="R12" s="87" t="s">
        <v>40</v>
      </c>
      <c r="S12" s="87" t="s">
        <v>41</v>
      </c>
      <c r="T12" s="99">
        <v>0.8</v>
      </c>
      <c r="U12" s="87" t="s">
        <v>42</v>
      </c>
      <c r="V12" s="2"/>
      <c r="W12" s="84"/>
      <c r="X12" s="85"/>
      <c r="Y12" s="91"/>
    </row>
  </sheetData>
  <mergeCells count="4">
    <mergeCell ref="J2:L5"/>
    <mergeCell ref="B7:G7"/>
    <mergeCell ref="I7:U7"/>
    <mergeCell ref="W7:Y7"/>
  </mergeCells>
  <printOptions horizontalCentered="1" verticalCentered="1"/>
  <pageMargins left="0.59055118110236227" right="0" top="0.98425196850393704" bottom="0.98425196850393704" header="0.51181102362204722" footer="0.51181102362204722"/>
  <pageSetup paperSize="5" scale="70" orientation="landscape" r:id="rId1"/>
  <headerFooter>
    <oddFooter>&amp;L&amp;8DE-GE-PR-03-FR-05 V03 F04-12-2014</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8"/>
  <sheetViews>
    <sheetView showGridLines="0" zoomScale="130" zoomScaleNormal="130" workbookViewId="0">
      <pane ySplit="8" topLeftCell="A9" activePane="bottomLeft" state="frozen"/>
      <selection pane="bottomLeft" activeCell="J12" sqref="J12:U14"/>
      <selection activeCell="J12" sqref="J12:U14"/>
    </sheetView>
  </sheetViews>
  <sheetFormatPr defaultColWidth="11.42578125" defaultRowHeight="12.75"/>
  <cols>
    <col min="1" max="1" width="3" style="1" bestFit="1" customWidth="1"/>
    <col min="2" max="2" width="12" style="1" bestFit="1" customWidth="1"/>
    <col min="3" max="4" width="15" style="1" customWidth="1"/>
    <col min="5" max="5" width="15" style="54" customWidth="1"/>
    <col min="6" max="6" width="15" style="1" customWidth="1"/>
    <col min="7" max="7" width="15" style="54" customWidth="1"/>
    <col min="8" max="8" width="2.5703125" style="1" customWidth="1"/>
    <col min="9" max="9" width="15.85546875" style="1" customWidth="1"/>
    <col min="10" max="10" width="26.28515625" style="1" customWidth="1"/>
    <col min="11" max="11" width="40.85546875" style="1" customWidth="1"/>
    <col min="12" max="12" width="10.7109375" style="35" customWidth="1"/>
    <col min="13" max="13" width="10.5703125" style="35" customWidth="1"/>
    <col min="14" max="14" width="38.7109375" style="1" customWidth="1"/>
    <col min="15" max="16" width="11.85546875" style="1" customWidth="1"/>
    <col min="17" max="17" width="13.28515625" style="1" customWidth="1"/>
    <col min="18" max="18" width="13.5703125" style="35" customWidth="1"/>
    <col min="19" max="19" width="13.5703125" style="1" customWidth="1"/>
    <col min="20" max="20" width="14.7109375" style="35" customWidth="1"/>
    <col min="21" max="21" width="13.42578125" style="35" bestFit="1" customWidth="1"/>
    <col min="22" max="22" width="2.7109375" style="1" customWidth="1"/>
    <col min="23" max="25" width="23" style="1" customWidth="1"/>
    <col min="26" max="26" width="3.140625" style="1" customWidth="1"/>
    <col min="27" max="16384" width="11.42578125" style="1"/>
  </cols>
  <sheetData>
    <row r="1" spans="1:26" s="10" customFormat="1" ht="13.5" thickBot="1">
      <c r="A1" s="2"/>
      <c r="B1" s="2"/>
      <c r="C1" s="2"/>
      <c r="D1" s="2"/>
      <c r="E1" s="4"/>
      <c r="F1" s="2"/>
      <c r="G1" s="4"/>
      <c r="H1" s="2"/>
      <c r="I1" s="2"/>
      <c r="J1" s="3"/>
      <c r="K1" s="2"/>
      <c r="L1" s="55"/>
      <c r="M1" s="55"/>
      <c r="N1" s="2"/>
      <c r="O1" s="2"/>
      <c r="P1" s="4"/>
      <c r="Q1" s="2"/>
      <c r="R1" s="30"/>
      <c r="S1" s="2"/>
      <c r="T1" s="30"/>
      <c r="U1" s="2"/>
      <c r="V1" s="2"/>
      <c r="W1" s="2"/>
      <c r="X1" s="2"/>
      <c r="Y1" s="2"/>
      <c r="Z1" s="2"/>
    </row>
    <row r="2" spans="1:26" s="10" customFormat="1">
      <c r="A2" s="2"/>
      <c r="B2" s="5"/>
      <c r="C2" s="18"/>
      <c r="D2" s="18"/>
      <c r="E2" s="52"/>
      <c r="F2" s="18"/>
      <c r="G2" s="52"/>
      <c r="H2" s="47"/>
      <c r="I2" s="18"/>
      <c r="J2" s="286" t="s">
        <v>0</v>
      </c>
      <c r="K2" s="286"/>
      <c r="L2" s="286"/>
      <c r="M2" s="56"/>
      <c r="N2" s="6"/>
      <c r="O2" s="16"/>
      <c r="P2" s="7"/>
      <c r="Q2" s="6"/>
      <c r="R2" s="31"/>
      <c r="S2" s="6"/>
      <c r="T2" s="31"/>
      <c r="U2" s="16"/>
      <c r="V2" s="7"/>
      <c r="W2" s="6"/>
      <c r="X2" s="6"/>
      <c r="Y2" s="24"/>
      <c r="Z2" s="2"/>
    </row>
    <row r="3" spans="1:26" s="10" customFormat="1">
      <c r="A3" s="2"/>
      <c r="B3" s="8"/>
      <c r="C3" s="9"/>
      <c r="D3" s="9"/>
      <c r="E3" s="9"/>
      <c r="F3" s="9"/>
      <c r="G3" s="9"/>
      <c r="H3" s="40"/>
      <c r="I3" s="9"/>
      <c r="J3" s="287"/>
      <c r="K3" s="287"/>
      <c r="L3" s="287"/>
      <c r="M3" s="57"/>
      <c r="P3" s="11"/>
      <c r="R3" s="92"/>
      <c r="T3" s="32"/>
      <c r="U3" s="17"/>
      <c r="V3" s="11"/>
      <c r="W3" s="12"/>
      <c r="X3" s="12"/>
      <c r="Y3" s="25"/>
      <c r="Z3" s="2"/>
    </row>
    <row r="4" spans="1:26" s="10" customFormat="1">
      <c r="A4" s="2"/>
      <c r="B4" s="13"/>
      <c r="C4" s="14"/>
      <c r="D4" s="14"/>
      <c r="E4" s="9"/>
      <c r="F4" s="14"/>
      <c r="G4" s="9"/>
      <c r="H4" s="39"/>
      <c r="I4" s="14"/>
      <c r="J4" s="287"/>
      <c r="K4" s="287"/>
      <c r="L4" s="287"/>
      <c r="M4" s="58"/>
      <c r="N4" s="12"/>
      <c r="O4" s="12"/>
      <c r="P4" s="17"/>
      <c r="Q4" s="12"/>
      <c r="R4" s="32"/>
      <c r="S4" s="12"/>
      <c r="T4" s="32"/>
      <c r="U4" s="23"/>
      <c r="V4" s="46"/>
      <c r="W4" s="12"/>
      <c r="X4" s="12"/>
      <c r="Y4" s="25"/>
      <c r="Z4" s="2"/>
    </row>
    <row r="5" spans="1:26" s="10" customFormat="1" ht="24" thickBot="1">
      <c r="A5" s="2"/>
      <c r="B5" s="48"/>
      <c r="C5" s="19"/>
      <c r="D5" s="19"/>
      <c r="E5" s="53"/>
      <c r="F5" s="19"/>
      <c r="G5" s="53"/>
      <c r="H5" s="49"/>
      <c r="I5" s="38"/>
      <c r="J5" s="288"/>
      <c r="K5" s="288"/>
      <c r="L5" s="288"/>
      <c r="M5" s="105"/>
      <c r="N5" s="19"/>
      <c r="O5" s="19"/>
      <c r="P5" s="19"/>
      <c r="Q5" s="19"/>
      <c r="R5" s="33"/>
      <c r="S5" s="19"/>
      <c r="T5" s="33"/>
      <c r="U5" s="19"/>
      <c r="V5" s="49"/>
      <c r="W5" s="26"/>
      <c r="X5" s="26"/>
      <c r="Y5" s="27"/>
      <c r="Z5" s="2"/>
    </row>
    <row r="6" spans="1:26" s="10" customFormat="1" ht="13.5" thickBot="1">
      <c r="A6" s="2"/>
      <c r="B6" s="2"/>
      <c r="C6" s="2"/>
      <c r="D6" s="2"/>
      <c r="E6" s="4"/>
      <c r="F6" s="2"/>
      <c r="G6" s="4"/>
      <c r="H6" s="2"/>
      <c r="I6" s="2"/>
      <c r="J6" s="2"/>
      <c r="K6" s="2"/>
      <c r="L6" s="55"/>
      <c r="M6" s="55"/>
      <c r="N6" s="2"/>
      <c r="O6" s="2"/>
      <c r="P6" s="2"/>
      <c r="Q6" s="2"/>
      <c r="R6" s="30"/>
      <c r="S6" s="2"/>
      <c r="T6" s="2"/>
      <c r="U6" s="2"/>
      <c r="V6" s="2"/>
      <c r="W6" s="2"/>
      <c r="X6" s="2"/>
      <c r="Y6" s="2"/>
      <c r="Z6" s="2"/>
    </row>
    <row r="7" spans="1:26" s="10" customFormat="1" ht="13.5" thickBot="1">
      <c r="A7" s="2"/>
      <c r="B7" s="289" t="s">
        <v>1</v>
      </c>
      <c r="C7" s="290"/>
      <c r="D7" s="290"/>
      <c r="E7" s="290"/>
      <c r="F7" s="290"/>
      <c r="G7" s="291"/>
      <c r="H7" s="2"/>
      <c r="I7" s="292" t="s">
        <v>2</v>
      </c>
      <c r="J7" s="293"/>
      <c r="K7" s="293"/>
      <c r="L7" s="294"/>
      <c r="M7" s="294"/>
      <c r="N7" s="293"/>
      <c r="O7" s="293"/>
      <c r="P7" s="293"/>
      <c r="Q7" s="293"/>
      <c r="R7" s="293"/>
      <c r="S7" s="293"/>
      <c r="T7" s="293"/>
      <c r="U7" s="295"/>
      <c r="V7" s="2"/>
      <c r="W7" s="292" t="s">
        <v>3</v>
      </c>
      <c r="X7" s="293"/>
      <c r="Y7" s="296"/>
      <c r="Z7" s="2"/>
    </row>
    <row r="8" spans="1:26" ht="38.25">
      <c r="A8" s="2"/>
      <c r="B8" s="44" t="s">
        <v>4</v>
      </c>
      <c r="C8" s="36" t="s">
        <v>5</v>
      </c>
      <c r="D8" s="36" t="s">
        <v>6</v>
      </c>
      <c r="E8" s="36" t="s">
        <v>7</v>
      </c>
      <c r="F8" s="36" t="s">
        <v>8</v>
      </c>
      <c r="G8" s="36" t="s">
        <v>9</v>
      </c>
      <c r="H8" s="2"/>
      <c r="I8" s="44" t="s">
        <v>10</v>
      </c>
      <c r="J8" s="37" t="s">
        <v>11</v>
      </c>
      <c r="K8" s="37" t="s">
        <v>12</v>
      </c>
      <c r="L8" s="37" t="s">
        <v>13</v>
      </c>
      <c r="M8" s="37" t="s">
        <v>14</v>
      </c>
      <c r="N8" s="37" t="s">
        <v>15</v>
      </c>
      <c r="O8" s="37" t="s">
        <v>16</v>
      </c>
      <c r="P8" s="37" t="s">
        <v>17</v>
      </c>
      <c r="Q8" s="37" t="s">
        <v>18</v>
      </c>
      <c r="R8" s="37" t="s">
        <v>19</v>
      </c>
      <c r="S8" s="37" t="s">
        <v>20</v>
      </c>
      <c r="T8" s="36" t="s">
        <v>21</v>
      </c>
      <c r="U8" s="45" t="s">
        <v>22</v>
      </c>
      <c r="V8" s="2"/>
      <c r="W8" s="44" t="s">
        <v>23</v>
      </c>
      <c r="X8" s="36" t="s">
        <v>24</v>
      </c>
      <c r="Y8" s="45" t="s">
        <v>25</v>
      </c>
      <c r="Z8" s="2"/>
    </row>
    <row r="9" spans="1:26" ht="45">
      <c r="B9" s="76" t="s">
        <v>287</v>
      </c>
      <c r="C9" s="77" t="s">
        <v>118</v>
      </c>
      <c r="D9" s="77" t="s">
        <v>288</v>
      </c>
      <c r="E9" s="78" t="s">
        <v>289</v>
      </c>
      <c r="F9" s="78" t="s">
        <v>290</v>
      </c>
      <c r="G9" s="79" t="s">
        <v>291</v>
      </c>
      <c r="H9" s="2"/>
      <c r="I9" s="28" t="s">
        <v>292</v>
      </c>
      <c r="J9" s="28" t="s">
        <v>293</v>
      </c>
      <c r="K9" s="77" t="s">
        <v>294</v>
      </c>
      <c r="L9" s="80" t="s">
        <v>35</v>
      </c>
      <c r="M9" s="80" t="s">
        <v>58</v>
      </c>
      <c r="N9" s="77" t="s">
        <v>295</v>
      </c>
      <c r="O9" s="77" t="s">
        <v>296</v>
      </c>
      <c r="P9" s="77" t="s">
        <v>296</v>
      </c>
      <c r="Q9" s="80" t="s">
        <v>39</v>
      </c>
      <c r="R9" s="80" t="s">
        <v>40</v>
      </c>
      <c r="S9" s="80" t="s">
        <v>41</v>
      </c>
      <c r="T9" s="100">
        <v>0.85</v>
      </c>
      <c r="U9" s="80" t="s">
        <v>42</v>
      </c>
      <c r="V9" s="2"/>
      <c r="W9" s="84"/>
      <c r="X9" s="85"/>
      <c r="Y9" s="91"/>
    </row>
    <row r="10" spans="1:26" ht="45">
      <c r="B10" s="76" t="s">
        <v>287</v>
      </c>
      <c r="C10" s="77" t="s">
        <v>118</v>
      </c>
      <c r="D10" s="77" t="s">
        <v>288</v>
      </c>
      <c r="E10" s="78" t="s">
        <v>289</v>
      </c>
      <c r="F10" s="78" t="s">
        <v>290</v>
      </c>
      <c r="G10" s="79" t="s">
        <v>291</v>
      </c>
      <c r="H10" s="2"/>
      <c r="I10" s="28" t="s">
        <v>297</v>
      </c>
      <c r="J10" s="28" t="s">
        <v>298</v>
      </c>
      <c r="K10" s="77" t="s">
        <v>294</v>
      </c>
      <c r="L10" s="80"/>
      <c r="M10" s="80" t="s">
        <v>58</v>
      </c>
      <c r="N10" s="77"/>
      <c r="O10" s="77"/>
      <c r="P10" s="77"/>
      <c r="Q10" s="77" t="s">
        <v>39</v>
      </c>
      <c r="R10" s="80" t="s">
        <v>40</v>
      </c>
      <c r="S10" s="80" t="s">
        <v>41</v>
      </c>
      <c r="T10" s="100"/>
      <c r="U10" s="80"/>
      <c r="V10" s="2"/>
      <c r="W10" s="84"/>
      <c r="X10" s="85"/>
      <c r="Y10" s="91"/>
    </row>
    <row r="11" spans="1:26" ht="45">
      <c r="B11" s="76" t="s">
        <v>287</v>
      </c>
      <c r="C11" s="77" t="s">
        <v>118</v>
      </c>
      <c r="D11" s="77" t="s">
        <v>288</v>
      </c>
      <c r="E11" s="78" t="s">
        <v>289</v>
      </c>
      <c r="F11" s="78" t="s">
        <v>290</v>
      </c>
      <c r="G11" s="79" t="s">
        <v>291</v>
      </c>
      <c r="H11" s="2"/>
      <c r="I11" s="28" t="s">
        <v>299</v>
      </c>
      <c r="J11" s="28" t="s">
        <v>300</v>
      </c>
      <c r="K11" s="77" t="s">
        <v>301</v>
      </c>
      <c r="L11" s="80" t="s">
        <v>35</v>
      </c>
      <c r="M11" s="80" t="s">
        <v>36</v>
      </c>
      <c r="N11" s="77" t="s">
        <v>302</v>
      </c>
      <c r="O11" s="77" t="s">
        <v>303</v>
      </c>
      <c r="P11" s="77" t="s">
        <v>303</v>
      </c>
      <c r="Q11" s="80" t="s">
        <v>39</v>
      </c>
      <c r="R11" s="80" t="s">
        <v>40</v>
      </c>
      <c r="S11" s="80" t="s">
        <v>41</v>
      </c>
      <c r="T11" s="100">
        <v>0.85</v>
      </c>
      <c r="U11" s="80" t="s">
        <v>42</v>
      </c>
      <c r="V11" s="2"/>
      <c r="W11" s="84"/>
      <c r="X11" s="85"/>
      <c r="Y11" s="91"/>
    </row>
    <row r="12" spans="1:26" s="21" customFormat="1" ht="45">
      <c r="A12" s="1"/>
      <c r="B12" s="76" t="s">
        <v>304</v>
      </c>
      <c r="C12" s="77" t="s">
        <v>305</v>
      </c>
      <c r="D12" s="77" t="s">
        <v>288</v>
      </c>
      <c r="E12" s="78" t="s">
        <v>289</v>
      </c>
      <c r="F12" s="77" t="s">
        <v>306</v>
      </c>
      <c r="G12" s="79" t="s">
        <v>307</v>
      </c>
      <c r="H12" s="2"/>
      <c r="I12" s="28" t="s">
        <v>308</v>
      </c>
      <c r="J12" s="28" t="s">
        <v>309</v>
      </c>
      <c r="K12" s="77" t="s">
        <v>310</v>
      </c>
      <c r="L12" s="80" t="s">
        <v>35</v>
      </c>
      <c r="M12" s="80" t="s">
        <v>36</v>
      </c>
      <c r="N12" s="77" t="s">
        <v>311</v>
      </c>
      <c r="O12" s="77" t="s">
        <v>312</v>
      </c>
      <c r="P12" s="77" t="s">
        <v>312</v>
      </c>
      <c r="Q12" s="80" t="s">
        <v>39</v>
      </c>
      <c r="R12" s="80" t="s">
        <v>40</v>
      </c>
      <c r="S12" s="80" t="s">
        <v>41</v>
      </c>
      <c r="T12" s="100">
        <v>1</v>
      </c>
      <c r="U12" s="80" t="s">
        <v>313</v>
      </c>
      <c r="V12" s="2"/>
      <c r="W12" s="76"/>
      <c r="X12" s="77"/>
      <c r="Y12" s="81"/>
      <c r="Z12" s="1"/>
    </row>
    <row r="13" spans="1:26" s="21" customFormat="1" ht="45">
      <c r="A13" s="1"/>
      <c r="B13" s="76" t="s">
        <v>304</v>
      </c>
      <c r="C13" s="77" t="s">
        <v>305</v>
      </c>
      <c r="D13" s="77" t="s">
        <v>288</v>
      </c>
      <c r="E13" s="78" t="s">
        <v>289</v>
      </c>
      <c r="F13" s="77" t="s">
        <v>306</v>
      </c>
      <c r="G13" s="79" t="s">
        <v>307</v>
      </c>
      <c r="H13" s="2"/>
      <c r="I13" s="28" t="s">
        <v>314</v>
      </c>
      <c r="J13" s="28" t="s">
        <v>315</v>
      </c>
      <c r="K13" s="77" t="s">
        <v>316</v>
      </c>
      <c r="L13" s="80" t="s">
        <v>35</v>
      </c>
      <c r="M13" s="80" t="s">
        <v>58</v>
      </c>
      <c r="N13" s="77" t="s">
        <v>249</v>
      </c>
      <c r="O13" s="77" t="s">
        <v>317</v>
      </c>
      <c r="P13" s="77" t="s">
        <v>317</v>
      </c>
      <c r="Q13" s="80" t="s">
        <v>39</v>
      </c>
      <c r="R13" s="80" t="s">
        <v>40</v>
      </c>
      <c r="S13" s="80" t="s">
        <v>41</v>
      </c>
      <c r="T13" s="100">
        <v>0.95</v>
      </c>
      <c r="U13" s="80" t="s">
        <v>42</v>
      </c>
      <c r="V13" s="2"/>
      <c r="W13" s="76"/>
      <c r="X13" s="77"/>
      <c r="Y13" s="81"/>
      <c r="Z13" s="1"/>
    </row>
    <row r="14" spans="1:26" ht="45">
      <c r="B14" s="76" t="s">
        <v>304</v>
      </c>
      <c r="C14" s="77" t="s">
        <v>305</v>
      </c>
      <c r="D14" s="77" t="s">
        <v>288</v>
      </c>
      <c r="E14" s="78" t="s">
        <v>289</v>
      </c>
      <c r="F14" s="77" t="s">
        <v>306</v>
      </c>
      <c r="G14" s="79" t="s">
        <v>307</v>
      </c>
      <c r="H14" s="2"/>
      <c r="I14" s="28" t="s">
        <v>318</v>
      </c>
      <c r="J14" s="28" t="s">
        <v>319</v>
      </c>
      <c r="K14" s="77" t="s">
        <v>320</v>
      </c>
      <c r="L14" s="80" t="s">
        <v>35</v>
      </c>
      <c r="M14" s="80" t="s">
        <v>58</v>
      </c>
      <c r="N14" s="77" t="s">
        <v>321</v>
      </c>
      <c r="O14" s="77" t="s">
        <v>317</v>
      </c>
      <c r="P14" s="77" t="s">
        <v>317</v>
      </c>
      <c r="Q14" s="80" t="s">
        <v>39</v>
      </c>
      <c r="R14" s="80" t="s">
        <v>40</v>
      </c>
      <c r="S14" s="80" t="s">
        <v>41</v>
      </c>
      <c r="T14" s="100">
        <v>0.95</v>
      </c>
      <c r="U14" s="80" t="s">
        <v>42</v>
      </c>
      <c r="V14" s="2"/>
      <c r="W14" s="84"/>
      <c r="X14" s="85"/>
      <c r="Y14" s="91"/>
    </row>
    <row r="15" spans="1:26" ht="45">
      <c r="B15" s="76" t="s">
        <v>304</v>
      </c>
      <c r="C15" s="77" t="s">
        <v>305</v>
      </c>
      <c r="D15" s="77" t="s">
        <v>288</v>
      </c>
      <c r="E15" s="78" t="s">
        <v>289</v>
      </c>
      <c r="F15" s="77" t="s">
        <v>306</v>
      </c>
      <c r="G15" s="79" t="s">
        <v>307</v>
      </c>
      <c r="H15" s="2"/>
      <c r="I15" s="28" t="s">
        <v>322</v>
      </c>
      <c r="J15" s="28" t="s">
        <v>251</v>
      </c>
      <c r="K15" s="77" t="s">
        <v>252</v>
      </c>
      <c r="L15" s="80" t="s">
        <v>35</v>
      </c>
      <c r="M15" s="80" t="s">
        <v>58</v>
      </c>
      <c r="N15" s="77" t="s">
        <v>253</v>
      </c>
      <c r="O15" s="77" t="s">
        <v>250</v>
      </c>
      <c r="P15" s="77" t="s">
        <v>250</v>
      </c>
      <c r="Q15" s="80" t="s">
        <v>39</v>
      </c>
      <c r="R15" s="80" t="s">
        <v>40</v>
      </c>
      <c r="S15" s="80" t="s">
        <v>41</v>
      </c>
      <c r="T15" s="100">
        <v>0.9</v>
      </c>
      <c r="U15" s="80" t="s">
        <v>42</v>
      </c>
      <c r="V15" s="2"/>
      <c r="W15" s="84"/>
      <c r="X15" s="85"/>
      <c r="Y15" s="91"/>
    </row>
    <row r="16" spans="1:26" ht="45">
      <c r="B16" s="76" t="s">
        <v>304</v>
      </c>
      <c r="C16" s="77" t="s">
        <v>118</v>
      </c>
      <c r="D16" s="77" t="s">
        <v>288</v>
      </c>
      <c r="E16" s="78" t="s">
        <v>289</v>
      </c>
      <c r="F16" s="77" t="s">
        <v>323</v>
      </c>
      <c r="G16" s="79" t="s">
        <v>324</v>
      </c>
      <c r="H16" s="2"/>
      <c r="I16" s="28" t="s">
        <v>325</v>
      </c>
      <c r="J16" s="28" t="s">
        <v>326</v>
      </c>
      <c r="K16" s="77" t="s">
        <v>327</v>
      </c>
      <c r="L16" s="80" t="s">
        <v>35</v>
      </c>
      <c r="M16" s="80" t="s">
        <v>36</v>
      </c>
      <c r="N16" s="77" t="s">
        <v>328</v>
      </c>
      <c r="O16" s="77" t="s">
        <v>329</v>
      </c>
      <c r="P16" s="77" t="s">
        <v>329</v>
      </c>
      <c r="Q16" s="80" t="s">
        <v>39</v>
      </c>
      <c r="R16" s="80" t="s">
        <v>40</v>
      </c>
      <c r="S16" s="80" t="s">
        <v>41</v>
      </c>
      <c r="T16" s="100">
        <v>0.8</v>
      </c>
      <c r="U16" s="80" t="s">
        <v>42</v>
      </c>
      <c r="V16" s="2"/>
      <c r="W16" s="76"/>
      <c r="X16" s="77"/>
      <c r="Y16" s="81"/>
    </row>
    <row r="17" spans="2:25" ht="45">
      <c r="B17" s="76" t="s">
        <v>304</v>
      </c>
      <c r="C17" s="77" t="s">
        <v>118</v>
      </c>
      <c r="D17" s="77" t="s">
        <v>288</v>
      </c>
      <c r="E17" s="78" t="s">
        <v>289</v>
      </c>
      <c r="F17" s="77" t="s">
        <v>323</v>
      </c>
      <c r="G17" s="79" t="s">
        <v>324</v>
      </c>
      <c r="H17" s="2"/>
      <c r="I17" s="28" t="s">
        <v>330</v>
      </c>
      <c r="J17" s="28" t="s">
        <v>331</v>
      </c>
      <c r="K17" s="77" t="s">
        <v>332</v>
      </c>
      <c r="L17" s="80" t="s">
        <v>35</v>
      </c>
      <c r="M17" s="80" t="s">
        <v>36</v>
      </c>
      <c r="N17" s="77" t="s">
        <v>333</v>
      </c>
      <c r="O17" s="77" t="s">
        <v>334</v>
      </c>
      <c r="P17" s="77" t="s">
        <v>334</v>
      </c>
      <c r="Q17" s="80" t="s">
        <v>39</v>
      </c>
      <c r="R17" s="80" t="s">
        <v>40</v>
      </c>
      <c r="S17" s="80" t="s">
        <v>41</v>
      </c>
      <c r="T17" s="100">
        <v>0.8</v>
      </c>
      <c r="U17" s="80" t="s">
        <v>42</v>
      </c>
      <c r="V17" s="2"/>
      <c r="W17" s="76"/>
      <c r="X17" s="77"/>
      <c r="Y17" s="81"/>
    </row>
    <row r="18" spans="2:25" ht="56.25">
      <c r="B18" s="76" t="s">
        <v>304</v>
      </c>
      <c r="C18" s="77" t="s">
        <v>335</v>
      </c>
      <c r="D18" s="77" t="s">
        <v>288</v>
      </c>
      <c r="E18" s="78" t="s">
        <v>289</v>
      </c>
      <c r="F18" s="77" t="s">
        <v>336</v>
      </c>
      <c r="G18" s="79" t="s">
        <v>337</v>
      </c>
      <c r="H18" s="2"/>
      <c r="I18" s="28" t="s">
        <v>338</v>
      </c>
      <c r="J18" s="28" t="s">
        <v>339</v>
      </c>
      <c r="K18" s="77" t="s">
        <v>340</v>
      </c>
      <c r="L18" s="80" t="s">
        <v>35</v>
      </c>
      <c r="M18" s="29" t="s">
        <v>36</v>
      </c>
      <c r="N18" s="77" t="s">
        <v>285</v>
      </c>
      <c r="O18" s="78" t="s">
        <v>341</v>
      </c>
      <c r="P18" s="78" t="s">
        <v>341</v>
      </c>
      <c r="Q18" s="80" t="s">
        <v>39</v>
      </c>
      <c r="R18" s="80" t="s">
        <v>40</v>
      </c>
      <c r="S18" s="80" t="s">
        <v>41</v>
      </c>
      <c r="T18" s="100">
        <v>0.8</v>
      </c>
      <c r="U18" s="80" t="s">
        <v>42</v>
      </c>
      <c r="V18" s="2"/>
      <c r="W18" s="76"/>
      <c r="X18" s="77"/>
      <c r="Y18" s="81"/>
    </row>
  </sheetData>
  <mergeCells count="4">
    <mergeCell ref="J2:L5"/>
    <mergeCell ref="B7:G7"/>
    <mergeCell ref="I7:U7"/>
    <mergeCell ref="W7:Y7"/>
  </mergeCells>
  <printOptions horizontalCentered="1" verticalCentered="1"/>
  <pageMargins left="0.59055118110236227" right="0" top="0.98425196850393704" bottom="0.98425196850393704" header="0.51181102362204722" footer="0.51181102362204722"/>
  <pageSetup paperSize="5" scale="70" orientation="landscape" r:id="rId1"/>
  <headerFooter>
    <oddFooter>&amp;L&amp;8DE-GE-PR-03-FR-05 V03 F04-12-2014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Ariel Leonel Melo</dc:creator>
  <cp:keywords/>
  <dc:description/>
  <cp:lastModifiedBy/>
  <cp:revision/>
  <dcterms:created xsi:type="dcterms:W3CDTF">2011-12-12T19:49:53Z</dcterms:created>
  <dcterms:modified xsi:type="dcterms:W3CDTF">2023-02-07T15:00:41Z</dcterms:modified>
  <cp:category/>
  <cp:contentStatus/>
</cp:coreProperties>
</file>